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C:\Users\id12949\Desktop\Web Request to update docs\"/>
    </mc:Choice>
  </mc:AlternateContent>
  <bookViews>
    <workbookView xWindow="0" yWindow="0" windowWidth="22125" windowHeight="9480"/>
  </bookViews>
  <sheets>
    <sheet name="December 2017" sheetId="1" r:id="rId1"/>
  </sheets>
  <definedNames>
    <definedName name="_xlnm._FilterDatabase" localSheetId="0" hidden="1">'December 2017'!$A$6:$H$247</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46" i="1" l="1"/>
  <c r="G246" i="1"/>
  <c r="F246" i="1"/>
  <c r="E246" i="1"/>
  <c r="D246" i="1"/>
  <c r="C246" i="1"/>
  <c r="B246" i="1"/>
  <c r="H245" i="1"/>
  <c r="G245" i="1"/>
  <c r="F245" i="1"/>
  <c r="E245" i="1"/>
  <c r="D245" i="1"/>
  <c r="C245" i="1"/>
  <c r="B245" i="1"/>
  <c r="H244" i="1"/>
  <c r="G244" i="1"/>
  <c r="F244" i="1"/>
  <c r="E244" i="1"/>
  <c r="D244" i="1"/>
  <c r="C244" i="1"/>
  <c r="B244" i="1"/>
  <c r="H243" i="1"/>
  <c r="G243" i="1"/>
  <c r="F243" i="1"/>
  <c r="E243" i="1"/>
  <c r="D243" i="1"/>
  <c r="C243" i="1"/>
  <c r="B243" i="1"/>
  <c r="H242" i="1"/>
  <c r="G242" i="1"/>
  <c r="F242" i="1"/>
  <c r="E242" i="1"/>
  <c r="D242" i="1"/>
  <c r="C242" i="1"/>
  <c r="B242" i="1"/>
  <c r="H241" i="1"/>
  <c r="G241" i="1"/>
  <c r="F241" i="1"/>
  <c r="E241" i="1"/>
  <c r="D241" i="1"/>
  <c r="C241" i="1"/>
  <c r="B241" i="1"/>
  <c r="H240" i="1"/>
  <c r="G240" i="1"/>
  <c r="F240" i="1"/>
  <c r="E240" i="1"/>
  <c r="D240" i="1"/>
  <c r="C240" i="1"/>
  <c r="B240" i="1"/>
  <c r="H239" i="1"/>
  <c r="G239" i="1"/>
  <c r="F239" i="1"/>
  <c r="E239" i="1"/>
  <c r="D239" i="1"/>
  <c r="C239" i="1"/>
  <c r="B239" i="1"/>
  <c r="H238" i="1"/>
  <c r="G238" i="1"/>
  <c r="F238" i="1"/>
  <c r="E238" i="1"/>
  <c r="D238" i="1"/>
  <c r="C238" i="1"/>
  <c r="B238" i="1"/>
  <c r="H237" i="1"/>
  <c r="G237" i="1"/>
  <c r="F237" i="1"/>
  <c r="E237" i="1"/>
  <c r="D237" i="1"/>
  <c r="C237" i="1"/>
  <c r="B237" i="1"/>
  <c r="H236" i="1"/>
  <c r="G236" i="1"/>
  <c r="F236" i="1"/>
  <c r="E236" i="1"/>
  <c r="D236" i="1"/>
  <c r="C236" i="1"/>
  <c r="B236" i="1"/>
  <c r="H235" i="1"/>
  <c r="G235" i="1"/>
  <c r="F235" i="1"/>
  <c r="E235" i="1"/>
  <c r="D235" i="1"/>
  <c r="C235" i="1"/>
  <c r="B235" i="1"/>
  <c r="H234" i="1"/>
  <c r="G234" i="1"/>
  <c r="F234" i="1"/>
  <c r="E234" i="1"/>
  <c r="D234" i="1"/>
  <c r="C234" i="1"/>
  <c r="B234" i="1"/>
  <c r="H233" i="1"/>
  <c r="G233" i="1"/>
  <c r="F233" i="1"/>
  <c r="E233" i="1"/>
  <c r="D233" i="1"/>
  <c r="C233" i="1"/>
  <c r="B233" i="1"/>
  <c r="H232" i="1"/>
  <c r="G232" i="1"/>
  <c r="F232" i="1"/>
  <c r="E232" i="1"/>
  <c r="D232" i="1"/>
  <c r="C232" i="1"/>
  <c r="B232" i="1"/>
  <c r="H231" i="1"/>
  <c r="G231" i="1"/>
  <c r="F231" i="1"/>
  <c r="E231" i="1"/>
  <c r="D231" i="1"/>
  <c r="C231" i="1"/>
  <c r="B231" i="1"/>
  <c r="H230" i="1"/>
  <c r="G230" i="1"/>
  <c r="F230" i="1"/>
  <c r="E230" i="1"/>
  <c r="D230" i="1"/>
  <c r="C230" i="1"/>
  <c r="B230" i="1"/>
  <c r="H229" i="1"/>
  <c r="G229" i="1"/>
  <c r="F229" i="1"/>
  <c r="E229" i="1"/>
  <c r="D229" i="1"/>
  <c r="C229" i="1"/>
  <c r="B229" i="1"/>
  <c r="H228" i="1"/>
  <c r="G228" i="1"/>
  <c r="F228" i="1"/>
  <c r="E228" i="1"/>
  <c r="D228" i="1"/>
  <c r="C228" i="1"/>
  <c r="B228" i="1"/>
  <c r="H227" i="1"/>
  <c r="G227" i="1"/>
  <c r="F227" i="1"/>
  <c r="E227" i="1"/>
  <c r="D227" i="1"/>
  <c r="C227" i="1"/>
  <c r="B227" i="1"/>
  <c r="H226" i="1"/>
  <c r="G226" i="1"/>
  <c r="F226" i="1"/>
  <c r="E226" i="1"/>
  <c r="D226" i="1"/>
  <c r="C226" i="1"/>
  <c r="B226" i="1"/>
  <c r="H225" i="1"/>
  <c r="G225" i="1"/>
  <c r="F225" i="1"/>
  <c r="E225" i="1"/>
  <c r="D225" i="1"/>
  <c r="C225" i="1"/>
  <c r="B225" i="1"/>
  <c r="H224" i="1"/>
  <c r="G224" i="1"/>
  <c r="F224" i="1"/>
  <c r="E224" i="1"/>
  <c r="D224" i="1"/>
  <c r="C224" i="1"/>
  <c r="B224" i="1"/>
  <c r="H223" i="1"/>
  <c r="G223" i="1"/>
  <c r="F223" i="1"/>
  <c r="E223" i="1"/>
  <c r="D223" i="1"/>
  <c r="C223" i="1"/>
  <c r="B223" i="1"/>
  <c r="H222" i="1"/>
  <c r="G222" i="1"/>
  <c r="F222" i="1"/>
  <c r="E222" i="1"/>
  <c r="D222" i="1"/>
  <c r="C222" i="1"/>
  <c r="B222" i="1"/>
  <c r="H221" i="1"/>
  <c r="G221" i="1"/>
  <c r="F221" i="1"/>
  <c r="E221" i="1"/>
  <c r="D221" i="1"/>
  <c r="C221" i="1"/>
  <c r="B221" i="1"/>
  <c r="H220" i="1"/>
  <c r="G220" i="1"/>
  <c r="F220" i="1"/>
  <c r="E220" i="1"/>
  <c r="D220" i="1"/>
  <c r="C220" i="1"/>
  <c r="B220" i="1"/>
  <c r="H219" i="1"/>
  <c r="G219" i="1"/>
  <c r="F219" i="1"/>
  <c r="E219" i="1"/>
  <c r="D219" i="1"/>
  <c r="C219" i="1"/>
  <c r="B219" i="1"/>
  <c r="H218" i="1"/>
  <c r="G218" i="1"/>
  <c r="F218" i="1"/>
  <c r="E218" i="1"/>
  <c r="D218" i="1"/>
  <c r="C218" i="1"/>
  <c r="B218" i="1"/>
  <c r="H217" i="1"/>
  <c r="G217" i="1"/>
  <c r="F217" i="1"/>
  <c r="E217" i="1"/>
  <c r="D217" i="1"/>
  <c r="C217" i="1"/>
  <c r="B217" i="1"/>
  <c r="H216" i="1"/>
  <c r="G216" i="1"/>
  <c r="F216" i="1"/>
  <c r="E216" i="1"/>
  <c r="D216" i="1"/>
  <c r="C216" i="1"/>
  <c r="B216" i="1"/>
  <c r="H215" i="1"/>
  <c r="G215" i="1"/>
  <c r="F215" i="1"/>
  <c r="E215" i="1"/>
  <c r="D215" i="1"/>
  <c r="C215" i="1"/>
  <c r="B215" i="1"/>
  <c r="H214" i="1"/>
  <c r="G214" i="1"/>
  <c r="F214" i="1"/>
  <c r="E214" i="1"/>
  <c r="D214" i="1"/>
  <c r="C214" i="1"/>
  <c r="B214" i="1"/>
  <c r="H213" i="1"/>
  <c r="G213" i="1"/>
  <c r="F213" i="1"/>
  <c r="E213" i="1"/>
  <c r="D213" i="1"/>
  <c r="C213" i="1"/>
  <c r="B213" i="1"/>
  <c r="H212" i="1"/>
  <c r="G212" i="1"/>
  <c r="F212" i="1"/>
  <c r="E212" i="1"/>
  <c r="D212" i="1"/>
  <c r="C212" i="1"/>
  <c r="B212" i="1"/>
  <c r="H211" i="1"/>
  <c r="G211" i="1"/>
  <c r="F211" i="1"/>
  <c r="E211" i="1"/>
  <c r="D211" i="1"/>
  <c r="C211" i="1"/>
  <c r="B211" i="1"/>
  <c r="H210" i="1"/>
  <c r="G210" i="1"/>
  <c r="F210" i="1"/>
  <c r="E210" i="1"/>
  <c r="D210" i="1"/>
  <c r="C210" i="1"/>
  <c r="B210" i="1"/>
  <c r="H209" i="1"/>
  <c r="G209" i="1"/>
  <c r="F209" i="1"/>
  <c r="E209" i="1"/>
  <c r="D209" i="1"/>
  <c r="C209" i="1"/>
  <c r="B209" i="1"/>
  <c r="H208" i="1"/>
  <c r="G208" i="1"/>
  <c r="F208" i="1"/>
  <c r="E208" i="1"/>
  <c r="D208" i="1"/>
  <c r="C208" i="1"/>
  <c r="B208" i="1"/>
  <c r="H207" i="1"/>
  <c r="G207" i="1"/>
  <c r="F207" i="1"/>
  <c r="E207" i="1"/>
  <c r="D207" i="1"/>
  <c r="C207" i="1"/>
  <c r="B207" i="1"/>
  <c r="H206" i="1"/>
  <c r="G206" i="1"/>
  <c r="F206" i="1"/>
  <c r="E206" i="1"/>
  <c r="D206" i="1"/>
  <c r="C206" i="1"/>
  <c r="B206" i="1"/>
  <c r="H205" i="1"/>
  <c r="G205" i="1"/>
  <c r="F205" i="1"/>
  <c r="E205" i="1"/>
  <c r="D205" i="1"/>
  <c r="C205" i="1"/>
  <c r="B205" i="1"/>
  <c r="H204" i="1"/>
  <c r="G204" i="1"/>
  <c r="F204" i="1"/>
  <c r="E204" i="1"/>
  <c r="D204" i="1"/>
  <c r="C204" i="1"/>
  <c r="B204" i="1"/>
  <c r="H203" i="1"/>
  <c r="G203" i="1"/>
  <c r="F203" i="1"/>
  <c r="E203" i="1"/>
  <c r="D203" i="1"/>
  <c r="C203" i="1"/>
  <c r="B203" i="1"/>
  <c r="H202" i="1"/>
  <c r="G202" i="1"/>
  <c r="F202" i="1"/>
  <c r="E202" i="1"/>
  <c r="D202" i="1"/>
  <c r="C202" i="1"/>
  <c r="B202" i="1"/>
  <c r="H201" i="1"/>
  <c r="G201" i="1"/>
  <c r="F201" i="1"/>
  <c r="E201" i="1"/>
  <c r="D201" i="1"/>
  <c r="C201" i="1"/>
  <c r="B201" i="1"/>
  <c r="H200" i="1"/>
  <c r="G200" i="1"/>
  <c r="F200" i="1"/>
  <c r="E200" i="1"/>
  <c r="D200" i="1"/>
  <c r="C200" i="1"/>
  <c r="B200" i="1"/>
  <c r="H199" i="1"/>
  <c r="G199" i="1"/>
  <c r="F199" i="1"/>
  <c r="E199" i="1"/>
  <c r="D199" i="1"/>
  <c r="C199" i="1"/>
  <c r="B199" i="1"/>
  <c r="H198" i="1"/>
  <c r="G198" i="1"/>
  <c r="F198" i="1"/>
  <c r="E198" i="1"/>
  <c r="D198" i="1"/>
  <c r="C198" i="1"/>
  <c r="B198" i="1"/>
  <c r="H197" i="1"/>
  <c r="G197" i="1"/>
  <c r="F197" i="1"/>
  <c r="E197" i="1"/>
  <c r="D197" i="1"/>
  <c r="C197" i="1"/>
  <c r="B197" i="1"/>
  <c r="H196" i="1"/>
  <c r="G196" i="1"/>
  <c r="F196" i="1"/>
  <c r="E196" i="1"/>
  <c r="D196" i="1"/>
  <c r="C196" i="1"/>
  <c r="B196" i="1"/>
  <c r="H195" i="1"/>
  <c r="G195" i="1"/>
  <c r="F195" i="1"/>
  <c r="E195" i="1"/>
  <c r="D195" i="1"/>
  <c r="C195" i="1"/>
  <c r="B195" i="1"/>
  <c r="H194" i="1"/>
  <c r="G194" i="1"/>
  <c r="F194" i="1"/>
  <c r="E194" i="1"/>
  <c r="D194" i="1"/>
  <c r="C194" i="1"/>
  <c r="B194" i="1"/>
  <c r="H193" i="1"/>
  <c r="G193" i="1"/>
  <c r="F193" i="1"/>
  <c r="E193" i="1"/>
  <c r="D193" i="1"/>
  <c r="C193" i="1"/>
  <c r="B193" i="1"/>
  <c r="H192" i="1"/>
  <c r="G192" i="1"/>
  <c r="F192" i="1"/>
  <c r="E192" i="1"/>
  <c r="D192" i="1"/>
  <c r="C192" i="1"/>
  <c r="B192" i="1"/>
  <c r="H191" i="1"/>
  <c r="G191" i="1"/>
  <c r="F191" i="1"/>
  <c r="E191" i="1"/>
  <c r="D191" i="1"/>
  <c r="C191" i="1"/>
  <c r="B191" i="1"/>
  <c r="H190" i="1"/>
  <c r="G190" i="1"/>
  <c r="F190" i="1"/>
  <c r="E190" i="1"/>
  <c r="D190" i="1"/>
  <c r="C190" i="1"/>
  <c r="B190" i="1"/>
  <c r="H189" i="1"/>
  <c r="G189" i="1"/>
  <c r="F189" i="1"/>
  <c r="E189" i="1"/>
  <c r="D189" i="1"/>
  <c r="C189" i="1"/>
  <c r="B189" i="1"/>
  <c r="H188" i="1"/>
  <c r="G188" i="1"/>
  <c r="F188" i="1"/>
  <c r="E188" i="1"/>
  <c r="D188" i="1"/>
  <c r="C188" i="1"/>
  <c r="B188" i="1"/>
  <c r="H187" i="1"/>
  <c r="G187" i="1"/>
  <c r="F187" i="1"/>
  <c r="E187" i="1"/>
  <c r="D187" i="1"/>
  <c r="C187" i="1"/>
  <c r="B187" i="1"/>
  <c r="H186" i="1"/>
  <c r="G186" i="1"/>
  <c r="F186" i="1"/>
  <c r="E186" i="1"/>
  <c r="D186" i="1"/>
  <c r="C186" i="1"/>
  <c r="B186" i="1"/>
  <c r="H185" i="1"/>
  <c r="G185" i="1"/>
  <c r="F185" i="1"/>
  <c r="E185" i="1"/>
  <c r="D185" i="1"/>
  <c r="C185" i="1"/>
  <c r="B185" i="1"/>
  <c r="H184" i="1"/>
  <c r="G184" i="1"/>
  <c r="F184" i="1"/>
  <c r="E184" i="1"/>
  <c r="D184" i="1"/>
  <c r="C184" i="1"/>
  <c r="B184" i="1"/>
  <c r="H183" i="1"/>
  <c r="G183" i="1"/>
  <c r="F183" i="1"/>
  <c r="E183" i="1"/>
  <c r="D183" i="1"/>
  <c r="C183" i="1"/>
  <c r="B183" i="1"/>
  <c r="H182" i="1"/>
  <c r="G182" i="1"/>
  <c r="F182" i="1"/>
  <c r="E182" i="1"/>
  <c r="D182" i="1"/>
  <c r="C182" i="1"/>
  <c r="B182" i="1"/>
  <c r="G181" i="1"/>
  <c r="F181" i="1"/>
  <c r="E181" i="1"/>
  <c r="D181" i="1"/>
  <c r="C181" i="1"/>
  <c r="B181" i="1"/>
  <c r="G180" i="1"/>
  <c r="F180" i="1"/>
  <c r="E180" i="1"/>
  <c r="D180" i="1"/>
  <c r="C180" i="1"/>
  <c r="B180" i="1"/>
  <c r="H179" i="1"/>
  <c r="G179" i="1"/>
  <c r="F179" i="1"/>
  <c r="E179" i="1"/>
  <c r="D179" i="1"/>
  <c r="C179" i="1"/>
  <c r="B179" i="1"/>
  <c r="H178" i="1"/>
  <c r="G178" i="1"/>
  <c r="F178" i="1"/>
  <c r="E178" i="1"/>
  <c r="D178" i="1"/>
  <c r="C178" i="1"/>
  <c r="B178" i="1"/>
  <c r="H177" i="1"/>
  <c r="G177" i="1"/>
  <c r="F177" i="1"/>
  <c r="E177" i="1"/>
  <c r="D177" i="1"/>
  <c r="C177" i="1"/>
  <c r="B177" i="1"/>
  <c r="H176" i="1"/>
  <c r="G176" i="1"/>
  <c r="F176" i="1"/>
  <c r="E176" i="1"/>
  <c r="D176" i="1"/>
  <c r="C176" i="1"/>
  <c r="B176" i="1"/>
  <c r="H175" i="1"/>
  <c r="G175" i="1"/>
  <c r="F175" i="1"/>
  <c r="E175" i="1"/>
  <c r="D175" i="1"/>
  <c r="C175" i="1"/>
  <c r="B175" i="1"/>
  <c r="H174" i="1"/>
  <c r="G174" i="1"/>
  <c r="F174" i="1"/>
  <c r="E174" i="1"/>
  <c r="D174" i="1"/>
  <c r="C174" i="1"/>
  <c r="B174" i="1"/>
  <c r="H173" i="1"/>
  <c r="G173" i="1"/>
  <c r="F173" i="1"/>
  <c r="E173" i="1"/>
  <c r="D173" i="1"/>
  <c r="C173" i="1"/>
  <c r="B173" i="1"/>
  <c r="H172" i="1"/>
  <c r="G172" i="1"/>
  <c r="F172" i="1"/>
  <c r="E172" i="1"/>
  <c r="D172" i="1"/>
  <c r="C172" i="1"/>
  <c r="B172" i="1"/>
  <c r="H171" i="1"/>
  <c r="G171" i="1"/>
  <c r="F171" i="1"/>
  <c r="E171" i="1"/>
  <c r="D171" i="1"/>
  <c r="C171" i="1"/>
  <c r="B171" i="1"/>
  <c r="H170" i="1"/>
  <c r="G170" i="1"/>
  <c r="F170" i="1"/>
  <c r="E170" i="1"/>
  <c r="D170" i="1"/>
  <c r="C170" i="1"/>
  <c r="B170" i="1"/>
  <c r="H169" i="1"/>
  <c r="G169" i="1"/>
  <c r="F169" i="1"/>
  <c r="E169" i="1"/>
  <c r="D169" i="1"/>
  <c r="C169" i="1"/>
  <c r="B169" i="1"/>
  <c r="H168" i="1"/>
  <c r="G168" i="1"/>
  <c r="F168" i="1"/>
  <c r="E168" i="1"/>
  <c r="D168" i="1"/>
  <c r="C168" i="1"/>
  <c r="B168" i="1"/>
  <c r="H167" i="1"/>
  <c r="G167" i="1"/>
  <c r="F167" i="1"/>
  <c r="E167" i="1"/>
  <c r="D167" i="1"/>
  <c r="C167" i="1"/>
  <c r="B167" i="1"/>
  <c r="H166" i="1"/>
  <c r="G166" i="1"/>
  <c r="F166" i="1"/>
  <c r="E166" i="1"/>
  <c r="D166" i="1"/>
  <c r="C166" i="1"/>
  <c r="B166" i="1"/>
  <c r="G165" i="1"/>
  <c r="F165" i="1"/>
  <c r="E165" i="1"/>
  <c r="D165" i="1"/>
  <c r="C165" i="1"/>
  <c r="B165" i="1"/>
  <c r="G164" i="1"/>
  <c r="F164" i="1"/>
  <c r="E164" i="1"/>
  <c r="D164" i="1"/>
  <c r="C164" i="1"/>
  <c r="B164" i="1"/>
  <c r="G163" i="1"/>
  <c r="F163" i="1"/>
  <c r="E163" i="1"/>
  <c r="D163" i="1"/>
  <c r="C163" i="1"/>
  <c r="B163" i="1"/>
  <c r="G162" i="1"/>
  <c r="F162" i="1"/>
  <c r="E162" i="1"/>
  <c r="D162" i="1"/>
  <c r="C162" i="1"/>
  <c r="B162" i="1"/>
  <c r="G159" i="1"/>
  <c r="F159" i="1"/>
  <c r="E159" i="1"/>
  <c r="D159" i="1"/>
  <c r="C159" i="1"/>
  <c r="B159" i="1"/>
  <c r="G158" i="1"/>
  <c r="F158" i="1"/>
  <c r="E158" i="1"/>
  <c r="D158" i="1"/>
  <c r="C158" i="1"/>
  <c r="B158" i="1"/>
  <c r="H157" i="1"/>
  <c r="G157" i="1"/>
  <c r="F157" i="1"/>
  <c r="E157" i="1"/>
  <c r="D157" i="1"/>
  <c r="C157" i="1"/>
  <c r="B157" i="1"/>
  <c r="H156" i="1"/>
  <c r="G156" i="1"/>
  <c r="F156" i="1"/>
  <c r="E156" i="1"/>
  <c r="D156" i="1"/>
  <c r="C156" i="1"/>
  <c r="B156" i="1"/>
  <c r="H155" i="1"/>
  <c r="G155" i="1"/>
  <c r="F155" i="1"/>
  <c r="E155" i="1"/>
  <c r="D155" i="1"/>
  <c r="C155" i="1"/>
  <c r="B155" i="1"/>
  <c r="H154" i="1"/>
  <c r="G154" i="1"/>
  <c r="F154" i="1"/>
  <c r="E154" i="1"/>
  <c r="D154" i="1"/>
  <c r="C154" i="1"/>
  <c r="B154" i="1"/>
  <c r="H153" i="1"/>
  <c r="G153" i="1"/>
  <c r="F153" i="1"/>
  <c r="E153" i="1"/>
  <c r="D153" i="1"/>
  <c r="C153" i="1"/>
  <c r="B153" i="1"/>
  <c r="H152" i="1"/>
  <c r="G152" i="1"/>
  <c r="F152" i="1"/>
  <c r="E152" i="1"/>
  <c r="D152" i="1"/>
  <c r="C152" i="1"/>
  <c r="B152" i="1"/>
  <c r="H151" i="1"/>
  <c r="G151" i="1"/>
  <c r="F151" i="1"/>
  <c r="E151" i="1"/>
  <c r="D151" i="1"/>
  <c r="C151" i="1"/>
  <c r="B151" i="1"/>
  <c r="H150" i="1"/>
  <c r="G150" i="1"/>
  <c r="F150" i="1"/>
  <c r="E150" i="1"/>
  <c r="D150" i="1"/>
  <c r="C150" i="1"/>
  <c r="B150" i="1"/>
  <c r="H149" i="1"/>
  <c r="G149" i="1"/>
  <c r="F149" i="1"/>
  <c r="E149" i="1"/>
  <c r="D149" i="1"/>
  <c r="C149" i="1"/>
  <c r="B149" i="1"/>
  <c r="H148" i="1"/>
  <c r="G148" i="1"/>
  <c r="F148" i="1"/>
  <c r="E148" i="1"/>
  <c r="D148" i="1"/>
  <c r="C148" i="1"/>
  <c r="B148" i="1"/>
  <c r="H147" i="1"/>
  <c r="G147" i="1"/>
  <c r="F147" i="1"/>
  <c r="E147" i="1"/>
  <c r="D147" i="1"/>
  <c r="C147" i="1"/>
  <c r="B147" i="1"/>
  <c r="H146" i="1"/>
  <c r="G146" i="1"/>
  <c r="F146" i="1"/>
  <c r="E146" i="1"/>
  <c r="D146" i="1"/>
  <c r="C146" i="1"/>
  <c r="B146" i="1"/>
  <c r="H145" i="1"/>
  <c r="G145" i="1"/>
  <c r="F145" i="1"/>
  <c r="E145" i="1"/>
  <c r="D145" i="1"/>
  <c r="C145" i="1"/>
  <c r="B145" i="1"/>
  <c r="H144" i="1"/>
  <c r="G144" i="1"/>
  <c r="F144" i="1"/>
  <c r="E144" i="1"/>
  <c r="D144" i="1"/>
  <c r="C144" i="1"/>
  <c r="B144" i="1"/>
  <c r="H143" i="1"/>
  <c r="G143" i="1"/>
  <c r="F143" i="1"/>
  <c r="E143" i="1"/>
  <c r="D143" i="1"/>
  <c r="C143" i="1"/>
  <c r="B143" i="1"/>
  <c r="H142" i="1"/>
  <c r="G142" i="1"/>
  <c r="F142" i="1"/>
  <c r="E142" i="1"/>
  <c r="D142" i="1"/>
  <c r="C142" i="1"/>
  <c r="B142" i="1"/>
  <c r="H141" i="1"/>
  <c r="G141" i="1"/>
  <c r="F141" i="1"/>
  <c r="E141" i="1"/>
  <c r="D141" i="1"/>
  <c r="C141" i="1"/>
  <c r="B141" i="1"/>
  <c r="H140" i="1"/>
  <c r="G140" i="1"/>
  <c r="F140" i="1"/>
  <c r="E140" i="1"/>
  <c r="D140" i="1"/>
  <c r="C140" i="1"/>
  <c r="B140" i="1"/>
  <c r="H139" i="1"/>
  <c r="G139" i="1"/>
  <c r="F139" i="1"/>
  <c r="E139" i="1"/>
  <c r="D139" i="1"/>
  <c r="C139" i="1"/>
  <c r="B139" i="1"/>
  <c r="H138" i="1"/>
  <c r="G138" i="1"/>
  <c r="F138" i="1"/>
  <c r="E138" i="1"/>
  <c r="D138" i="1"/>
  <c r="C138" i="1"/>
  <c r="B138" i="1"/>
  <c r="H137" i="1"/>
  <c r="G137" i="1"/>
  <c r="F137" i="1"/>
  <c r="E137" i="1"/>
  <c r="D137" i="1"/>
  <c r="C137" i="1"/>
  <c r="B137" i="1"/>
  <c r="H136" i="1"/>
  <c r="G136" i="1"/>
  <c r="F136" i="1"/>
  <c r="E136" i="1"/>
  <c r="D136" i="1"/>
  <c r="C136" i="1"/>
  <c r="B136" i="1"/>
  <c r="H135" i="1"/>
  <c r="G135" i="1"/>
  <c r="F135" i="1"/>
  <c r="E135" i="1"/>
  <c r="D135" i="1"/>
  <c r="C135" i="1"/>
  <c r="B135" i="1"/>
  <c r="H134" i="1"/>
  <c r="G134" i="1"/>
  <c r="F134" i="1"/>
  <c r="E134" i="1"/>
  <c r="D134" i="1"/>
  <c r="C134" i="1"/>
  <c r="B134" i="1"/>
  <c r="H133" i="1"/>
  <c r="G133" i="1"/>
  <c r="F133" i="1"/>
  <c r="E133" i="1"/>
  <c r="D133" i="1"/>
  <c r="C133" i="1"/>
  <c r="B133" i="1"/>
  <c r="H132" i="1"/>
  <c r="G132" i="1"/>
  <c r="F132" i="1"/>
  <c r="E132" i="1"/>
  <c r="D132" i="1"/>
  <c r="C132" i="1"/>
  <c r="B132" i="1"/>
  <c r="H131" i="1"/>
  <c r="G131" i="1"/>
  <c r="F131" i="1"/>
  <c r="E131" i="1"/>
  <c r="D131" i="1"/>
  <c r="C131" i="1"/>
  <c r="B131" i="1"/>
  <c r="H130" i="1"/>
  <c r="G130" i="1"/>
  <c r="F130" i="1"/>
  <c r="E130" i="1"/>
  <c r="D130" i="1"/>
  <c r="C130" i="1"/>
  <c r="B130" i="1"/>
  <c r="H129" i="1"/>
  <c r="G129" i="1"/>
  <c r="F129" i="1"/>
  <c r="E129" i="1"/>
  <c r="D129" i="1"/>
  <c r="C129" i="1"/>
  <c r="B129" i="1"/>
  <c r="H128" i="1"/>
  <c r="G128" i="1"/>
  <c r="F128" i="1"/>
  <c r="E128" i="1"/>
  <c r="D128" i="1"/>
  <c r="C128" i="1"/>
  <c r="B128" i="1"/>
  <c r="H127" i="1"/>
  <c r="G127" i="1"/>
  <c r="F127" i="1"/>
  <c r="E127" i="1"/>
  <c r="D127" i="1"/>
  <c r="C127" i="1"/>
  <c r="B127" i="1"/>
  <c r="H126" i="1"/>
  <c r="G126" i="1"/>
  <c r="F126" i="1"/>
  <c r="E126" i="1"/>
  <c r="D126" i="1"/>
  <c r="C126" i="1"/>
  <c r="B126" i="1"/>
  <c r="H125" i="1"/>
  <c r="G125" i="1"/>
  <c r="F125" i="1"/>
  <c r="E125" i="1"/>
  <c r="D125" i="1"/>
  <c r="C125" i="1"/>
  <c r="B125" i="1"/>
  <c r="H124" i="1"/>
  <c r="G124" i="1"/>
  <c r="F124" i="1"/>
  <c r="E124" i="1"/>
  <c r="D124" i="1"/>
  <c r="C124" i="1"/>
  <c r="B124" i="1"/>
  <c r="H123" i="1"/>
  <c r="G123" i="1"/>
  <c r="F123" i="1"/>
  <c r="E123" i="1"/>
  <c r="D123" i="1"/>
  <c r="C123" i="1"/>
  <c r="B123" i="1"/>
  <c r="H122" i="1"/>
  <c r="G122" i="1"/>
  <c r="F122" i="1"/>
  <c r="E122" i="1"/>
  <c r="D122" i="1"/>
  <c r="C122" i="1"/>
  <c r="B122" i="1"/>
  <c r="H121" i="1"/>
  <c r="G121" i="1"/>
  <c r="F121" i="1"/>
  <c r="E121" i="1"/>
  <c r="D121" i="1"/>
  <c r="C121" i="1"/>
  <c r="B121" i="1"/>
  <c r="H120" i="1"/>
  <c r="G120" i="1"/>
  <c r="F120" i="1"/>
  <c r="E120" i="1"/>
  <c r="D120" i="1"/>
  <c r="C120" i="1"/>
  <c r="B120" i="1"/>
  <c r="H119" i="1"/>
  <c r="E119" i="1"/>
  <c r="D119" i="1"/>
  <c r="C119" i="1"/>
  <c r="B119" i="1"/>
  <c r="H118" i="1"/>
  <c r="E118" i="1"/>
  <c r="D118" i="1"/>
  <c r="C118" i="1"/>
  <c r="B118" i="1"/>
  <c r="H117" i="1"/>
  <c r="E117" i="1"/>
  <c r="D117" i="1"/>
  <c r="C117" i="1"/>
  <c r="B117" i="1"/>
  <c r="H116" i="1"/>
  <c r="E116" i="1"/>
  <c r="D116" i="1"/>
  <c r="C116" i="1"/>
  <c r="B116" i="1"/>
  <c r="H115" i="1"/>
  <c r="E115" i="1"/>
  <c r="D115" i="1"/>
  <c r="C115" i="1"/>
  <c r="B115" i="1"/>
  <c r="H114" i="1"/>
  <c r="E114" i="1"/>
  <c r="D114" i="1"/>
  <c r="C114" i="1"/>
  <c r="B114" i="1"/>
  <c r="H113" i="1"/>
  <c r="E113" i="1"/>
  <c r="D113" i="1"/>
  <c r="C113" i="1"/>
  <c r="B113" i="1"/>
  <c r="H112" i="1"/>
  <c r="E112" i="1"/>
  <c r="D112" i="1"/>
  <c r="C112" i="1"/>
  <c r="B112" i="1"/>
  <c r="H111" i="1"/>
  <c r="G111" i="1"/>
  <c r="F111" i="1"/>
  <c r="E111" i="1"/>
  <c r="D111" i="1"/>
  <c r="C111" i="1"/>
  <c r="B111" i="1"/>
  <c r="H109" i="1"/>
  <c r="G109" i="1"/>
  <c r="F109" i="1"/>
  <c r="E109" i="1"/>
  <c r="D109" i="1"/>
  <c r="C109" i="1"/>
  <c r="B109" i="1"/>
  <c r="H108" i="1"/>
  <c r="G108" i="1"/>
  <c r="F108" i="1"/>
  <c r="E108" i="1"/>
  <c r="D108" i="1"/>
  <c r="C108" i="1"/>
  <c r="B108" i="1"/>
  <c r="H107" i="1"/>
  <c r="G107" i="1"/>
  <c r="F107" i="1"/>
  <c r="E107" i="1"/>
  <c r="D107" i="1"/>
  <c r="C107" i="1"/>
  <c r="B107" i="1"/>
  <c r="G106" i="1"/>
  <c r="F106" i="1"/>
  <c r="E106" i="1"/>
  <c r="D106" i="1"/>
  <c r="C106" i="1"/>
  <c r="B106" i="1"/>
  <c r="G105" i="1"/>
  <c r="F105" i="1"/>
  <c r="E105" i="1"/>
  <c r="D105" i="1"/>
  <c r="C105" i="1"/>
  <c r="B105" i="1"/>
  <c r="G104" i="1"/>
  <c r="F104" i="1"/>
  <c r="E104" i="1"/>
  <c r="D104" i="1"/>
  <c r="C104" i="1"/>
  <c r="B104" i="1"/>
  <c r="H103" i="1"/>
  <c r="G103" i="1"/>
  <c r="F103" i="1"/>
  <c r="E103" i="1"/>
  <c r="D103" i="1"/>
  <c r="C103" i="1"/>
  <c r="B103" i="1"/>
  <c r="H102" i="1"/>
  <c r="G102" i="1"/>
  <c r="F102" i="1"/>
  <c r="E102" i="1"/>
  <c r="D102" i="1"/>
  <c r="C102" i="1"/>
  <c r="B102" i="1"/>
  <c r="H101" i="1"/>
  <c r="G101" i="1"/>
  <c r="F101" i="1"/>
  <c r="E101" i="1"/>
  <c r="D101" i="1"/>
  <c r="C101" i="1"/>
  <c r="B101" i="1"/>
  <c r="H100" i="1"/>
  <c r="G100" i="1"/>
  <c r="F100" i="1"/>
  <c r="E100" i="1"/>
  <c r="D100" i="1"/>
  <c r="C100" i="1"/>
  <c r="B100" i="1"/>
  <c r="H99" i="1"/>
  <c r="G99" i="1"/>
  <c r="F99" i="1"/>
  <c r="E99" i="1"/>
  <c r="D99" i="1"/>
  <c r="C99" i="1"/>
  <c r="B99" i="1"/>
  <c r="H98" i="1"/>
  <c r="G98" i="1"/>
  <c r="F98" i="1"/>
  <c r="E98" i="1"/>
  <c r="D98" i="1"/>
  <c r="C98" i="1"/>
  <c r="B98" i="1"/>
  <c r="H97" i="1"/>
  <c r="G97" i="1"/>
  <c r="F97" i="1"/>
  <c r="E97" i="1"/>
  <c r="D97" i="1"/>
  <c r="C97" i="1"/>
  <c r="B97" i="1"/>
  <c r="H96" i="1"/>
  <c r="G96" i="1"/>
  <c r="F96" i="1"/>
  <c r="E96" i="1"/>
  <c r="D96" i="1"/>
  <c r="C96" i="1"/>
  <c r="B96" i="1"/>
  <c r="G95" i="1"/>
  <c r="F95" i="1"/>
  <c r="E95" i="1"/>
  <c r="D95" i="1"/>
  <c r="C95" i="1"/>
  <c r="B95" i="1"/>
  <c r="H94" i="1"/>
  <c r="G94" i="1"/>
  <c r="F94" i="1"/>
  <c r="E94" i="1"/>
  <c r="D94" i="1"/>
  <c r="C94" i="1"/>
  <c r="B94" i="1"/>
  <c r="H93" i="1"/>
  <c r="G93" i="1"/>
  <c r="F93" i="1"/>
  <c r="E93" i="1"/>
  <c r="D93" i="1"/>
  <c r="C93" i="1"/>
  <c r="B93" i="1"/>
  <c r="H92" i="1"/>
  <c r="G92" i="1"/>
  <c r="F92" i="1"/>
  <c r="E92" i="1"/>
  <c r="D92" i="1"/>
  <c r="C92" i="1"/>
  <c r="B92" i="1"/>
  <c r="H91" i="1"/>
  <c r="G91" i="1"/>
  <c r="F91" i="1"/>
  <c r="E91" i="1"/>
  <c r="D91" i="1"/>
  <c r="C91" i="1"/>
  <c r="B91" i="1"/>
  <c r="H90" i="1"/>
  <c r="G90" i="1"/>
  <c r="F90" i="1"/>
  <c r="E90" i="1"/>
  <c r="D90" i="1"/>
  <c r="C90" i="1"/>
  <c r="B90" i="1"/>
  <c r="H89" i="1"/>
  <c r="G89" i="1"/>
  <c r="F89" i="1"/>
  <c r="E89" i="1"/>
  <c r="D89" i="1"/>
  <c r="C89" i="1"/>
  <c r="B89" i="1"/>
  <c r="H88" i="1"/>
  <c r="G88" i="1"/>
  <c r="F88" i="1"/>
  <c r="E88" i="1"/>
  <c r="D88" i="1"/>
  <c r="C88" i="1"/>
  <c r="B88" i="1"/>
  <c r="H84" i="1"/>
  <c r="G84" i="1"/>
  <c r="F84" i="1"/>
  <c r="E84" i="1"/>
  <c r="D84" i="1"/>
  <c r="C84" i="1"/>
  <c r="B84" i="1"/>
  <c r="H83" i="1"/>
  <c r="G83" i="1"/>
  <c r="F83" i="1"/>
  <c r="E83" i="1"/>
  <c r="D83" i="1"/>
  <c r="C83" i="1"/>
  <c r="B83" i="1"/>
  <c r="H82" i="1"/>
  <c r="G82" i="1"/>
  <c r="F82" i="1"/>
  <c r="E82" i="1"/>
  <c r="D82" i="1"/>
  <c r="C82" i="1"/>
  <c r="B82" i="1"/>
  <c r="H81" i="1"/>
  <c r="G81" i="1"/>
  <c r="F81" i="1"/>
  <c r="E81" i="1"/>
  <c r="D81" i="1"/>
  <c r="C81" i="1"/>
  <c r="B81" i="1"/>
  <c r="H80" i="1"/>
  <c r="G80" i="1"/>
  <c r="F80" i="1"/>
  <c r="E80" i="1"/>
  <c r="D80" i="1"/>
  <c r="C80" i="1"/>
  <c r="B80" i="1"/>
  <c r="G79" i="1"/>
  <c r="F79" i="1"/>
  <c r="E79" i="1"/>
  <c r="D79" i="1"/>
  <c r="C79" i="1"/>
  <c r="B79" i="1"/>
  <c r="H78" i="1"/>
  <c r="G78" i="1"/>
  <c r="F78" i="1"/>
  <c r="E78" i="1"/>
  <c r="D78" i="1"/>
  <c r="C78" i="1"/>
  <c r="B78" i="1"/>
  <c r="H77" i="1"/>
  <c r="G77" i="1"/>
  <c r="F77" i="1"/>
  <c r="E77" i="1"/>
  <c r="D77" i="1"/>
  <c r="C77" i="1"/>
  <c r="B77" i="1"/>
  <c r="H76" i="1"/>
  <c r="G76" i="1"/>
  <c r="F76" i="1"/>
  <c r="E76" i="1"/>
  <c r="D76" i="1"/>
  <c r="C76" i="1"/>
  <c r="B76" i="1"/>
  <c r="H75" i="1"/>
  <c r="G75" i="1"/>
  <c r="F75" i="1"/>
  <c r="E75" i="1"/>
  <c r="D75" i="1"/>
  <c r="C75" i="1"/>
  <c r="B75" i="1"/>
  <c r="H74" i="1"/>
  <c r="G74" i="1"/>
  <c r="F74" i="1"/>
  <c r="E74" i="1"/>
  <c r="D74" i="1"/>
  <c r="C74" i="1"/>
  <c r="B74" i="1"/>
  <c r="H73" i="1"/>
  <c r="G73" i="1"/>
  <c r="F73" i="1"/>
  <c r="E73" i="1"/>
  <c r="D73" i="1"/>
  <c r="C73" i="1"/>
  <c r="B73" i="1"/>
  <c r="H72" i="1"/>
  <c r="G72" i="1"/>
  <c r="F72" i="1"/>
  <c r="E72" i="1"/>
  <c r="D72" i="1"/>
  <c r="C72" i="1"/>
  <c r="B72" i="1"/>
  <c r="H71" i="1"/>
  <c r="G71" i="1"/>
  <c r="F71" i="1"/>
  <c r="E71" i="1"/>
  <c r="D71" i="1"/>
  <c r="C71" i="1"/>
  <c r="B71" i="1"/>
  <c r="H70" i="1"/>
  <c r="G70" i="1"/>
  <c r="F70" i="1"/>
  <c r="E70" i="1"/>
  <c r="D70" i="1"/>
  <c r="C70" i="1"/>
  <c r="B70" i="1"/>
  <c r="H69" i="1"/>
  <c r="G69" i="1"/>
  <c r="F69" i="1"/>
  <c r="E69" i="1"/>
  <c r="D69" i="1"/>
  <c r="C69" i="1"/>
  <c r="B69" i="1"/>
  <c r="H68" i="1"/>
  <c r="G68" i="1"/>
  <c r="F68" i="1"/>
  <c r="E68" i="1"/>
  <c r="D68" i="1"/>
  <c r="C68" i="1"/>
  <c r="B68" i="1"/>
  <c r="G67" i="1"/>
  <c r="F67" i="1"/>
  <c r="E67" i="1"/>
  <c r="D67" i="1"/>
  <c r="C67" i="1"/>
  <c r="B67" i="1"/>
  <c r="G66" i="1"/>
  <c r="F66" i="1"/>
  <c r="E66" i="1"/>
  <c r="D66" i="1"/>
  <c r="C66" i="1"/>
  <c r="B66" i="1"/>
  <c r="G65" i="1"/>
  <c r="F65" i="1"/>
  <c r="E65" i="1"/>
  <c r="D65" i="1"/>
  <c r="C65" i="1"/>
  <c r="B65" i="1"/>
  <c r="H64" i="1"/>
  <c r="G64" i="1"/>
  <c r="F64" i="1"/>
  <c r="E64" i="1"/>
  <c r="D64" i="1"/>
  <c r="C64" i="1"/>
  <c r="B64" i="1"/>
  <c r="G63" i="1"/>
  <c r="F63" i="1"/>
  <c r="E63" i="1"/>
  <c r="D63" i="1"/>
  <c r="C63" i="1"/>
  <c r="B63" i="1"/>
  <c r="H62" i="1"/>
  <c r="G62" i="1"/>
  <c r="F62" i="1"/>
  <c r="E62" i="1"/>
  <c r="D62" i="1"/>
  <c r="C62" i="1"/>
  <c r="B62" i="1"/>
  <c r="H61" i="1"/>
  <c r="G61" i="1"/>
  <c r="F61" i="1"/>
  <c r="E61" i="1"/>
  <c r="D61" i="1"/>
  <c r="C61" i="1"/>
  <c r="B61" i="1"/>
  <c r="H60" i="1"/>
  <c r="G60" i="1"/>
  <c r="F60" i="1"/>
  <c r="E60" i="1"/>
  <c r="D60" i="1"/>
  <c r="C60" i="1"/>
  <c r="B60" i="1"/>
  <c r="H58" i="1"/>
  <c r="G58" i="1"/>
  <c r="F58" i="1"/>
  <c r="E58" i="1"/>
  <c r="D58" i="1"/>
  <c r="C58" i="1"/>
  <c r="B58" i="1"/>
  <c r="H57" i="1"/>
  <c r="G57" i="1"/>
  <c r="F57" i="1"/>
  <c r="E57" i="1"/>
  <c r="D57" i="1"/>
  <c r="C57" i="1"/>
  <c r="B57" i="1"/>
  <c r="H56" i="1"/>
  <c r="G56" i="1"/>
  <c r="F56" i="1"/>
  <c r="E56" i="1"/>
  <c r="D56" i="1"/>
  <c r="C56" i="1"/>
  <c r="B56" i="1"/>
  <c r="H54" i="1"/>
  <c r="G54" i="1"/>
  <c r="F54" i="1"/>
  <c r="E54" i="1"/>
  <c r="D54" i="1"/>
  <c r="C54" i="1"/>
  <c r="B54" i="1"/>
  <c r="H53" i="1"/>
  <c r="G53" i="1"/>
  <c r="F53" i="1"/>
  <c r="E53" i="1"/>
  <c r="D53" i="1"/>
  <c r="C53" i="1"/>
  <c r="B53" i="1"/>
  <c r="H52" i="1"/>
  <c r="G52" i="1"/>
  <c r="F52" i="1"/>
  <c r="E52" i="1"/>
  <c r="D52" i="1"/>
  <c r="C52" i="1"/>
  <c r="B52" i="1"/>
  <c r="H51" i="1"/>
  <c r="G51" i="1"/>
  <c r="F51" i="1"/>
  <c r="E51" i="1"/>
  <c r="D51" i="1"/>
  <c r="C51" i="1"/>
  <c r="B51" i="1"/>
  <c r="H50" i="1"/>
  <c r="G50" i="1"/>
  <c r="F50" i="1"/>
  <c r="E50" i="1"/>
  <c r="D50" i="1"/>
  <c r="C50" i="1"/>
  <c r="B50" i="1"/>
  <c r="H49" i="1"/>
  <c r="G49" i="1"/>
  <c r="F49" i="1"/>
  <c r="E49" i="1"/>
  <c r="D49" i="1"/>
  <c r="C49" i="1"/>
  <c r="B49" i="1"/>
  <c r="H48" i="1"/>
  <c r="G48" i="1"/>
  <c r="F48" i="1"/>
  <c r="E48" i="1"/>
  <c r="D48" i="1"/>
  <c r="C48" i="1"/>
  <c r="B48" i="1"/>
  <c r="H47" i="1"/>
  <c r="G47" i="1"/>
  <c r="F47" i="1"/>
  <c r="E47" i="1"/>
  <c r="D47" i="1"/>
  <c r="C47" i="1"/>
  <c r="B47" i="1"/>
  <c r="G46" i="1"/>
  <c r="F46" i="1"/>
  <c r="E46" i="1"/>
  <c r="D46" i="1"/>
  <c r="C46" i="1"/>
  <c r="B46" i="1"/>
  <c r="H45" i="1"/>
  <c r="G45" i="1"/>
  <c r="F45" i="1"/>
  <c r="E45" i="1"/>
  <c r="D45" i="1"/>
  <c r="C45" i="1"/>
  <c r="B45" i="1"/>
  <c r="H44" i="1"/>
  <c r="G44" i="1"/>
  <c r="F44" i="1"/>
  <c r="E44" i="1"/>
  <c r="D44" i="1"/>
  <c r="C44" i="1"/>
  <c r="B44" i="1"/>
  <c r="H43" i="1"/>
  <c r="G43" i="1"/>
  <c r="F43" i="1"/>
  <c r="E43" i="1"/>
  <c r="D43" i="1"/>
  <c r="C43" i="1"/>
  <c r="B43" i="1"/>
  <c r="H42" i="1"/>
  <c r="G42" i="1"/>
  <c r="F42" i="1"/>
  <c r="E42" i="1"/>
  <c r="D42" i="1"/>
  <c r="C42" i="1"/>
  <c r="B42" i="1"/>
  <c r="H41" i="1"/>
  <c r="G41" i="1"/>
  <c r="F41" i="1"/>
  <c r="E41" i="1"/>
  <c r="D41" i="1"/>
  <c r="C41" i="1"/>
  <c r="B41" i="1"/>
  <c r="H40" i="1"/>
  <c r="G40" i="1"/>
  <c r="F40" i="1"/>
  <c r="E40" i="1"/>
  <c r="D40" i="1"/>
  <c r="C40" i="1"/>
  <c r="B40" i="1"/>
  <c r="H39" i="1"/>
  <c r="G39" i="1"/>
  <c r="F39" i="1"/>
  <c r="E39" i="1"/>
  <c r="D39" i="1"/>
  <c r="C39" i="1"/>
  <c r="B39" i="1"/>
  <c r="H38" i="1"/>
  <c r="G38" i="1"/>
  <c r="F38" i="1"/>
  <c r="E38" i="1"/>
  <c r="D38" i="1"/>
  <c r="C38" i="1"/>
  <c r="B38" i="1"/>
  <c r="H37" i="1"/>
  <c r="G37" i="1"/>
  <c r="F37" i="1"/>
  <c r="E37" i="1"/>
  <c r="D37" i="1"/>
  <c r="C37" i="1"/>
  <c r="B37" i="1"/>
  <c r="H36" i="1"/>
  <c r="G36" i="1"/>
  <c r="F36" i="1"/>
  <c r="E36" i="1"/>
  <c r="D36" i="1"/>
  <c r="C36" i="1"/>
  <c r="B36" i="1"/>
  <c r="H35" i="1"/>
  <c r="G35" i="1"/>
  <c r="F35" i="1"/>
  <c r="E35" i="1"/>
  <c r="D35" i="1"/>
  <c r="C35" i="1"/>
  <c r="B35" i="1"/>
  <c r="H34" i="1"/>
  <c r="G34" i="1"/>
  <c r="F34" i="1"/>
  <c r="E34" i="1"/>
  <c r="D34" i="1"/>
  <c r="C34" i="1"/>
  <c r="B34" i="1"/>
  <c r="H33" i="1"/>
  <c r="G33" i="1"/>
  <c r="F33" i="1"/>
  <c r="E33" i="1"/>
  <c r="D33" i="1"/>
  <c r="C33" i="1"/>
  <c r="B33" i="1"/>
  <c r="H32" i="1"/>
  <c r="G32" i="1"/>
  <c r="F32" i="1"/>
  <c r="E32" i="1"/>
  <c r="D32" i="1"/>
  <c r="C32" i="1"/>
  <c r="B32" i="1"/>
  <c r="H31" i="1"/>
  <c r="G31" i="1"/>
  <c r="F31" i="1"/>
  <c r="E31" i="1"/>
  <c r="D31" i="1"/>
  <c r="C31" i="1"/>
  <c r="B31" i="1"/>
  <c r="H30" i="1"/>
  <c r="G30" i="1"/>
  <c r="F30" i="1"/>
  <c r="E30" i="1"/>
  <c r="D30" i="1"/>
  <c r="C30" i="1"/>
  <c r="B30" i="1"/>
  <c r="H29" i="1"/>
  <c r="G29" i="1"/>
  <c r="F29" i="1"/>
  <c r="E29" i="1"/>
  <c r="D29" i="1"/>
  <c r="C29" i="1"/>
  <c r="B29" i="1"/>
  <c r="H28" i="1"/>
  <c r="G28" i="1"/>
  <c r="F28" i="1"/>
  <c r="E28" i="1"/>
  <c r="D28" i="1"/>
  <c r="C28" i="1"/>
  <c r="B28" i="1"/>
  <c r="H26" i="1"/>
  <c r="G26" i="1"/>
  <c r="F26" i="1"/>
  <c r="E26" i="1"/>
  <c r="D26" i="1"/>
  <c r="C26" i="1"/>
  <c r="B26" i="1"/>
  <c r="H25" i="1"/>
  <c r="G25" i="1"/>
  <c r="F25" i="1"/>
  <c r="E25" i="1"/>
  <c r="D25" i="1"/>
  <c r="C25" i="1"/>
  <c r="B25" i="1"/>
  <c r="H24" i="1"/>
  <c r="G24" i="1"/>
  <c r="F24" i="1"/>
  <c r="E24" i="1"/>
  <c r="D24" i="1"/>
  <c r="C24" i="1"/>
  <c r="B24" i="1"/>
  <c r="H23" i="1"/>
  <c r="G23" i="1"/>
  <c r="F23" i="1"/>
  <c r="E23" i="1"/>
  <c r="D23" i="1"/>
  <c r="C23" i="1"/>
  <c r="B23" i="1"/>
  <c r="H22" i="1"/>
  <c r="G22" i="1"/>
  <c r="F22" i="1"/>
  <c r="E22" i="1"/>
  <c r="D22" i="1"/>
  <c r="C22" i="1"/>
  <c r="B22" i="1"/>
  <c r="H21" i="1"/>
  <c r="G21" i="1"/>
  <c r="F21" i="1"/>
  <c r="E21" i="1"/>
  <c r="D21" i="1"/>
  <c r="C21" i="1"/>
  <c r="B21" i="1"/>
  <c r="H20" i="1"/>
  <c r="G20" i="1"/>
  <c r="F20" i="1"/>
  <c r="E20" i="1"/>
  <c r="D20" i="1"/>
  <c r="C20" i="1"/>
  <c r="B20" i="1"/>
  <c r="H19" i="1"/>
  <c r="G19" i="1"/>
  <c r="F19" i="1"/>
  <c r="E19" i="1"/>
  <c r="D19" i="1"/>
  <c r="C19" i="1"/>
  <c r="B19" i="1"/>
  <c r="H18" i="1"/>
  <c r="G18" i="1"/>
  <c r="F18" i="1"/>
  <c r="E18" i="1"/>
  <c r="D18" i="1"/>
  <c r="C18" i="1"/>
  <c r="B18" i="1"/>
  <c r="H17" i="1"/>
  <c r="G17" i="1"/>
  <c r="F17" i="1"/>
  <c r="E17" i="1"/>
  <c r="D17" i="1"/>
  <c r="C17" i="1"/>
  <c r="B17" i="1"/>
  <c r="H16" i="1"/>
  <c r="G16" i="1"/>
  <c r="F16" i="1"/>
  <c r="E16" i="1"/>
  <c r="D16" i="1"/>
  <c r="C16" i="1"/>
  <c r="B16" i="1"/>
  <c r="H15" i="1"/>
  <c r="G15" i="1"/>
  <c r="F15" i="1"/>
  <c r="E15" i="1"/>
  <c r="D15" i="1"/>
  <c r="C15" i="1"/>
  <c r="B15" i="1"/>
  <c r="H14" i="1"/>
  <c r="G14" i="1"/>
  <c r="F14" i="1"/>
  <c r="E14" i="1"/>
  <c r="D14" i="1"/>
  <c r="C14" i="1"/>
  <c r="B14" i="1"/>
  <c r="H13" i="1"/>
  <c r="G13" i="1"/>
  <c r="F13" i="1"/>
  <c r="E13" i="1"/>
  <c r="D13" i="1"/>
  <c r="C13" i="1"/>
  <c r="B13" i="1"/>
  <c r="H12" i="1"/>
  <c r="G12" i="1"/>
  <c r="F12" i="1"/>
  <c r="E12" i="1"/>
  <c r="D12" i="1"/>
  <c r="C12" i="1"/>
  <c r="B12" i="1"/>
  <c r="H11" i="1"/>
  <c r="G11" i="1"/>
  <c r="F11" i="1"/>
  <c r="E11" i="1"/>
  <c r="D11" i="1"/>
  <c r="C11" i="1"/>
  <c r="B11" i="1"/>
  <c r="H10" i="1"/>
  <c r="G10" i="1"/>
  <c r="F10" i="1"/>
  <c r="E10" i="1"/>
  <c r="D10" i="1"/>
  <c r="C10" i="1"/>
  <c r="B10" i="1"/>
  <c r="H9" i="1"/>
  <c r="G9" i="1"/>
  <c r="F9" i="1"/>
  <c r="E9" i="1"/>
  <c r="D9" i="1"/>
  <c r="C9" i="1"/>
  <c r="B9" i="1"/>
  <c r="H8" i="1"/>
  <c r="G8" i="1"/>
  <c r="F8" i="1"/>
  <c r="E8" i="1"/>
  <c r="D8" i="1"/>
  <c r="C8" i="1"/>
  <c r="B8" i="1"/>
  <c r="H7" i="1"/>
  <c r="G7" i="1"/>
  <c r="F7" i="1"/>
  <c r="E7" i="1"/>
  <c r="D7" i="1"/>
  <c r="C7" i="1"/>
  <c r="B7" i="1"/>
</calcChain>
</file>

<file path=xl/sharedStrings.xml><?xml version="1.0" encoding="utf-8"?>
<sst xmlns="http://schemas.openxmlformats.org/spreadsheetml/2006/main" count="284" uniqueCount="37">
  <si>
    <t>Manufacturer</t>
  </si>
  <si>
    <t>Comments</t>
  </si>
  <si>
    <t>End Date</t>
  </si>
  <si>
    <t>HCPCS Code</t>
  </si>
  <si>
    <t>Effective Date</t>
  </si>
  <si>
    <t>Product Name</t>
  </si>
  <si>
    <t>Model Number</t>
  </si>
  <si>
    <t>A9270</t>
  </si>
  <si>
    <t>Indicator</t>
  </si>
  <si>
    <t>A</t>
  </si>
  <si>
    <t>U</t>
  </si>
  <si>
    <t xml:space="preserve">DMECS Additions and Updates
Additions and Updates are in HCPCS Alphanumeric Order
</t>
  </si>
  <si>
    <t>A4467</t>
  </si>
  <si>
    <t>FIBRACOL PLUS COLLAGEN WOUND DRESSING WITH ALGINATE (COVER)</t>
  </si>
  <si>
    <t>JOHNSON &amp; JOHNSON (A DIVISION OF ETHICON INC)</t>
  </si>
  <si>
    <t>A6021</t>
  </si>
  <si>
    <t>FIBRACOL PLUS COLLAGE WOUND DRESSING WITH ALGINATE (FILLER)</t>
  </si>
  <si>
    <t>A6024</t>
  </si>
  <si>
    <t>ADAPTIC</t>
  </si>
  <si>
    <t>A6222</t>
  </si>
  <si>
    <t>ADAPTIC PG PETROLATUM GAUZE NON-ADHERING DRESSING</t>
  </si>
  <si>
    <t>ADAPTIC X XEROFORM GAUZE NON-ADHERENT DRESSING</t>
  </si>
  <si>
    <t>ADAPTIC (ROLL)</t>
  </si>
  <si>
    <t>A6266</t>
  </si>
  <si>
    <t>SIMPURITY HYDROGEL DRESSING 2 X 2 INCH WITH ADHESIVE BORDER</t>
  </si>
  <si>
    <t>SAFE N SIMPLE LLC</t>
  </si>
  <si>
    <t>SNS58312</t>
  </si>
  <si>
    <t>LORETA</t>
  </si>
  <si>
    <t>B &amp; S PARTNERS INC (DBA PILGRIM SHOES)</t>
  </si>
  <si>
    <t>P3166</t>
  </si>
  <si>
    <t>THE MIRACLE BACK (TLSO) FROM DOCTOR IN THE HOUSE</t>
  </si>
  <si>
    <t>DOCTOR IN THE HOUSE</t>
  </si>
  <si>
    <t>MB100</t>
  </si>
  <si>
    <t>HERNIA AID</t>
  </si>
  <si>
    <t>ALPHA MEDICAL LLC</t>
  </si>
  <si>
    <t>5000</t>
  </si>
  <si>
    <t>L8310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</si>
</sst>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0"/>
      <color theme="1"/>
      <name val="Calibri"/>
      <family val="2"/>
      <scheme val="minor"/>
    </font>
    <font>
      <b/>
      <sz val="11"/>
      <color theme="0"/>
      <name val="Calibri"/>
      <family val="2"/>
      <scheme val="minor"/>
    </font>
    <font>
      <b/>
      <sz val="10"/>
      <color theme="1"/>
      <name val="Calibri"/>
      <family val="2"/>
      <scheme val="minor"/>
    </font>
    <font>
      <sz val="9"/>
      <color theme="1"/>
      <name val="Calibri"/>
      <family val="2"/>
      <scheme val="minor"/>
    </font>
  </fonts>
  <fills count="3">
    <fill>
      <patternFill patternType="none"/>
    </fill>
    <fill>
      <patternFill patternType="gray125"/>
    </fill>
    <fill>
      <patternFill patternType="solid">
        <fgColor rgb="FFA5A5A5"/>
      </patternFill>
    </fill>
  </fills>
  <borders count="4">
    <border>
      <left/>
      <right/>
      <top/>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right/>
      <top/>
      <bottom style="thin">
        <color indexed="64"/>
      </bottom>
      <diagonal/>
    </border>
  </borders>
  <cellStyleXfs count="2">
    <xf numFmtId="0" fontId="0" fillId="0" borderId="0"/>
    <xf numFmtId="0" fontId="2" fillId="2" borderId="2" applyNumberFormat="0" applyAlignment="0" applyProtection="0"/>
  </cellStyleXfs>
  <cellXfs count="13">
    <xf numFmtId="0" fontId="0" fillId="0" borderId="0" xfId="0"/>
    <xf numFmtId="0" fontId="1" fillId="0" borderId="0" xfId="0" applyFont="1" applyFill="1" applyAlignment="1">
      <alignment horizontal="left"/>
    </xf>
    <xf numFmtId="0" fontId="3" fillId="0" borderId="1" xfId="1" applyFont="1" applyFill="1" applyBorder="1" applyAlignment="1">
      <alignment horizontal="left" wrapText="1"/>
    </xf>
    <xf numFmtId="0" fontId="3" fillId="0" borderId="1" xfId="1" applyFont="1" applyFill="1" applyBorder="1" applyAlignment="1">
      <alignment horizontal="left" vertical="center" wrapText="1"/>
    </xf>
    <xf numFmtId="0" fontId="1" fillId="0" borderId="3" xfId="0" applyFont="1" applyFill="1" applyBorder="1" applyAlignment="1">
      <alignment horizontal="left"/>
    </xf>
    <xf numFmtId="0" fontId="4" fillId="0" borderId="1" xfId="0" applyFont="1" applyFill="1" applyBorder="1" applyAlignment="1">
      <alignment horizontal="left" wrapText="1"/>
    </xf>
    <xf numFmtId="0" fontId="4" fillId="0" borderId="1" xfId="0" applyFont="1" applyFill="1" applyBorder="1" applyAlignment="1">
      <alignment horizontal="left"/>
    </xf>
    <xf numFmtId="14" fontId="4" fillId="0" borderId="1" xfId="0" applyNumberFormat="1" applyFont="1" applyFill="1" applyBorder="1" applyAlignment="1">
      <alignment horizontal="left"/>
    </xf>
    <xf numFmtId="49" fontId="4" fillId="0" borderId="1" xfId="0" applyNumberFormat="1" applyFont="1" applyFill="1" applyBorder="1" applyAlignment="1">
      <alignment horizontal="left"/>
    </xf>
    <xf numFmtId="0" fontId="4" fillId="0" borderId="1" xfId="0" applyFont="1" applyBorder="1"/>
    <xf numFmtId="0" fontId="4" fillId="0" borderId="1" xfId="0" applyFont="1" applyFill="1" applyBorder="1" applyAlignment="1">
      <alignment wrapText="1"/>
    </xf>
    <xf numFmtId="0" fontId="3" fillId="0" borderId="0" xfId="0" applyFont="1" applyFill="1" applyAlignment="1">
      <alignment horizontal="left" wrapText="1"/>
    </xf>
    <xf numFmtId="0" fontId="3" fillId="0" borderId="3" xfId="0" applyFont="1" applyFill="1" applyBorder="1" applyAlignment="1">
      <alignment horizontal="left" wrapText="1"/>
    </xf>
  </cellXfs>
  <cellStyles count="2">
    <cellStyle name="Check Cell" xfId="1" builtinId="2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409575</xdr:colOff>
      <xdr:row>0</xdr:row>
      <xdr:rowOff>123825</xdr:rowOff>
    </xdr:from>
    <xdr:to>
      <xdr:col>2</xdr:col>
      <xdr:colOff>2239377</xdr:colOff>
      <xdr:row>4</xdr:row>
      <xdr:rowOff>95249</xdr:rowOff>
    </xdr:to>
    <xdr:pic>
      <xdr:nvPicPr>
        <xdr:cNvPr id="2" name="Picture 1" descr="Noridian Healthcare Solutions logo." title="Noridian Healthcare Solutions">
          <a:extLst>
            <a:ext uri="{FF2B5EF4-FFF2-40B4-BE49-F238E27FC236}">
              <a16:creationId xmlns:a16="http://schemas.microsoft.com/office/drawing/2014/main" id="{1A5B5F41-C6AD-4AA8-9238-D6872AE0A162}"/>
            </a:ext>
          </a:extLst>
        </xdr:cNvPr>
        <xdr:cNvPicPr>
          <a:picLocks noChangeAspect="1"/>
        </xdr:cNvPicPr>
      </xdr:nvPicPr>
      <xdr:blipFill>
        <a:blip xmlns:r="http://schemas.openxmlformats.org/officeDocument/2006/relationships" r:embed="rId1"/>
        <a:stretch>
          <a:fillRect/>
        </a:stretch>
      </xdr:blipFill>
      <xdr:spPr>
        <a:xfrm>
          <a:off x="6543675" y="123825"/>
          <a:ext cx="1829802" cy="6953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64"/>
  <sheetViews>
    <sheetView tabSelected="1" workbookViewId="0">
      <pane ySplit="6" topLeftCell="A13" activePane="bottomLeft" state="frozen"/>
      <selection pane="bottomLeft" activeCell="C11" sqref="C11"/>
    </sheetView>
  </sheetViews>
  <sheetFormatPr defaultRowHeight="12.75" x14ac:dyDescent="0.2"/>
  <cols>
    <col min="1" max="1" width="12.140625" style="1" customWidth="1"/>
    <col min="2" max="2" width="65.5703125" style="1" customWidth="1"/>
    <col min="3" max="3" width="39.85546875" style="1" customWidth="1"/>
    <col min="4" max="4" width="17.42578125" style="1" customWidth="1"/>
    <col min="5" max="5" width="20.42578125" style="1" bestFit="1" customWidth="1"/>
    <col min="6" max="6" width="14.140625" style="1" bestFit="1" customWidth="1"/>
    <col min="7" max="7" width="13.42578125" style="1" customWidth="1"/>
    <col min="8" max="8" width="121.42578125" style="1" customWidth="1"/>
    <col min="9" max="16384" width="9.140625" style="1"/>
  </cols>
  <sheetData>
    <row r="1" spans="1:8" ht="14.25" customHeight="1" x14ac:dyDescent="0.2">
      <c r="A1" s="11" t="s">
        <v>11</v>
      </c>
      <c r="B1" s="11"/>
      <c r="C1" s="11"/>
      <c r="D1" s="11"/>
      <c r="E1" s="11"/>
      <c r="F1" s="11"/>
      <c r="G1" s="11"/>
      <c r="H1" s="11"/>
    </row>
    <row r="2" spans="1:8" ht="14.25" customHeight="1" x14ac:dyDescent="0.2">
      <c r="A2" s="11"/>
      <c r="B2" s="11"/>
      <c r="C2" s="11"/>
      <c r="D2" s="11"/>
      <c r="E2" s="11"/>
      <c r="F2" s="11"/>
      <c r="G2" s="11"/>
      <c r="H2" s="11"/>
    </row>
    <row r="3" spans="1:8" ht="14.25" customHeight="1" x14ac:dyDescent="0.2">
      <c r="A3" s="11"/>
      <c r="B3" s="11"/>
      <c r="C3" s="11"/>
      <c r="D3" s="11"/>
      <c r="E3" s="11"/>
      <c r="F3" s="11"/>
      <c r="G3" s="11"/>
      <c r="H3" s="11"/>
    </row>
    <row r="4" spans="1:8" ht="14.25" customHeight="1" x14ac:dyDescent="0.2">
      <c r="A4" s="11"/>
      <c r="B4" s="11"/>
      <c r="C4" s="11"/>
      <c r="D4" s="11"/>
      <c r="E4" s="11"/>
      <c r="F4" s="11"/>
      <c r="G4" s="11"/>
      <c r="H4" s="11"/>
    </row>
    <row r="5" spans="1:8" ht="14.25" customHeight="1" x14ac:dyDescent="0.2">
      <c r="A5" s="12"/>
      <c r="B5" s="12"/>
      <c r="C5" s="12"/>
      <c r="D5" s="12"/>
      <c r="E5" s="12"/>
      <c r="F5" s="12"/>
      <c r="G5" s="12"/>
      <c r="H5" s="12"/>
    </row>
    <row r="6" spans="1:8" s="4" customFormat="1" x14ac:dyDescent="0.2">
      <c r="A6" s="2" t="s">
        <v>8</v>
      </c>
      <c r="B6" s="3" t="s">
        <v>5</v>
      </c>
      <c r="C6" s="3" t="s">
        <v>0</v>
      </c>
      <c r="D6" s="3" t="s">
        <v>6</v>
      </c>
      <c r="E6" s="3" t="s">
        <v>3</v>
      </c>
      <c r="F6" s="3" t="s">
        <v>4</v>
      </c>
      <c r="G6" s="3" t="s">
        <v>2</v>
      </c>
      <c r="H6" s="3" t="s">
        <v>1</v>
      </c>
    </row>
    <row r="7" spans="1:8" ht="13.5" customHeight="1" x14ac:dyDescent="0.2">
      <c r="A7" s="9" t="s">
        <v>9</v>
      </c>
      <c r="B7" s="10" t="str">
        <f>T("CURE ULTRA COUDE")</f>
        <v>CURE ULTRA COUDE</v>
      </c>
      <c r="C7" s="10" t="str">
        <f>T("CURE MEDICAL")</f>
        <v>CURE MEDICAL</v>
      </c>
      <c r="D7" s="10" t="str">
        <f>T("ULTRA M12C")</f>
        <v>ULTRA M12C</v>
      </c>
      <c r="E7" s="10" t="str">
        <f>T("A4352")</f>
        <v>A4352</v>
      </c>
      <c r="F7" s="10" t="str">
        <f t="shared" ref="F7:F19" si="0">T("12/22/2017")</f>
        <v>12/22/2017</v>
      </c>
      <c r="G7" s="10" t="str">
        <f t="shared" ref="G7:H26" si="1">T("")</f>
        <v/>
      </c>
      <c r="H7" s="10" t="str">
        <f t="shared" si="1"/>
        <v/>
      </c>
    </row>
    <row r="8" spans="1:8" ht="13.5" customHeight="1" x14ac:dyDescent="0.2">
      <c r="A8" s="9" t="s">
        <v>9</v>
      </c>
      <c r="B8" s="10" t="str">
        <f>T("CURE ULTRA COUDE")</f>
        <v>CURE ULTRA COUDE</v>
      </c>
      <c r="C8" s="10" t="str">
        <f>T("CURE MEDICAL")</f>
        <v>CURE MEDICAL</v>
      </c>
      <c r="D8" s="10" t="str">
        <f>T("ULTRA M14C")</f>
        <v>ULTRA M14C</v>
      </c>
      <c r="E8" s="10" t="str">
        <f>T("A4352")</f>
        <v>A4352</v>
      </c>
      <c r="F8" s="10" t="str">
        <f t="shared" si="0"/>
        <v>12/22/2017</v>
      </c>
      <c r="G8" s="10" t="str">
        <f t="shared" si="1"/>
        <v/>
      </c>
      <c r="H8" s="10" t="str">
        <f t="shared" si="1"/>
        <v/>
      </c>
    </row>
    <row r="9" spans="1:8" ht="13.5" customHeight="1" x14ac:dyDescent="0.2">
      <c r="A9" s="9" t="s">
        <v>9</v>
      </c>
      <c r="B9" s="10" t="str">
        <f>T("CURE ULTRA COUDE")</f>
        <v>CURE ULTRA COUDE</v>
      </c>
      <c r="C9" s="10" t="str">
        <f>T("CURE MEDICAL")</f>
        <v>CURE MEDICAL</v>
      </c>
      <c r="D9" s="10" t="str">
        <f>T("ULTRA M16C")</f>
        <v>ULTRA M16C</v>
      </c>
      <c r="E9" s="10" t="str">
        <f>T("A4352")</f>
        <v>A4352</v>
      </c>
      <c r="F9" s="10" t="str">
        <f t="shared" si="0"/>
        <v>12/22/2017</v>
      </c>
      <c r="G9" s="10" t="str">
        <f t="shared" si="1"/>
        <v/>
      </c>
      <c r="H9" s="10" t="str">
        <f t="shared" si="1"/>
        <v/>
      </c>
    </row>
    <row r="10" spans="1:8" ht="13.5" customHeight="1" x14ac:dyDescent="0.2">
      <c r="A10" s="9" t="s">
        <v>9</v>
      </c>
      <c r="B10" s="10" t="str">
        <f>T("CURE ULTRA COUDE")</f>
        <v>CURE ULTRA COUDE</v>
      </c>
      <c r="C10" s="10" t="str">
        <f>T("CURE MEDICAL")</f>
        <v>CURE MEDICAL</v>
      </c>
      <c r="D10" s="10" t="str">
        <f>T("ULTRA M18C")</f>
        <v>ULTRA M18C</v>
      </c>
      <c r="E10" s="10" t="str">
        <f>T("A4352")</f>
        <v>A4352</v>
      </c>
      <c r="F10" s="10" t="str">
        <f t="shared" si="0"/>
        <v>12/22/2017</v>
      </c>
      <c r="G10" s="10" t="str">
        <f t="shared" si="1"/>
        <v/>
      </c>
      <c r="H10" s="10" t="str">
        <f t="shared" si="1"/>
        <v/>
      </c>
    </row>
    <row r="11" spans="1:8" ht="13.5" customHeight="1" x14ac:dyDescent="0.2">
      <c r="A11" s="9" t="s">
        <v>9</v>
      </c>
      <c r="B11" s="10" t="str">
        <f>T("HYPAFIX GENTLE TOUCH DRESSING 4"" X 16.4' [10CM X 5M]")</f>
        <v>HYPAFIX GENTLE TOUCH DRESSING 4" X 16.4' [10CM X 5M]</v>
      </c>
      <c r="C11" s="10" t="str">
        <f t="shared" ref="C11:C19" si="2">T("BSN MEDICAL INC")</f>
        <v>BSN MEDICAL INC</v>
      </c>
      <c r="D11" s="10" t="str">
        <f>T("79966-02")</f>
        <v>79966-02</v>
      </c>
      <c r="E11" s="10" t="str">
        <f>T("A4450")</f>
        <v>A4450</v>
      </c>
      <c r="F11" s="10" t="str">
        <f t="shared" si="0"/>
        <v>12/22/2017</v>
      </c>
      <c r="G11" s="10" t="str">
        <f t="shared" si="1"/>
        <v/>
      </c>
      <c r="H11" s="10" t="str">
        <f t="shared" si="1"/>
        <v/>
      </c>
    </row>
    <row r="12" spans="1:8" ht="13.5" customHeight="1" x14ac:dyDescent="0.2">
      <c r="A12" s="9" t="s">
        <v>9</v>
      </c>
      <c r="B12" s="10" t="str">
        <f>T("HYPAFIX GENTLE TOUCH DRESSING 6"" X 16.4' [15CM X 5M]")</f>
        <v>HYPAFIX GENTLE TOUCH DRESSING 6" X 16.4' [15CM X 5M]</v>
      </c>
      <c r="C12" s="10" t="str">
        <f t="shared" si="2"/>
        <v>BSN MEDICAL INC</v>
      </c>
      <c r="D12" s="10" t="str">
        <f>T("79966-03")</f>
        <v>79966-03</v>
      </c>
      <c r="E12" s="10" t="str">
        <f>T("A4450")</f>
        <v>A4450</v>
      </c>
      <c r="F12" s="10" t="str">
        <f t="shared" si="0"/>
        <v>12/22/2017</v>
      </c>
      <c r="G12" s="10" t="str">
        <f t="shared" si="1"/>
        <v/>
      </c>
      <c r="H12" s="10" t="str">
        <f t="shared" si="1"/>
        <v/>
      </c>
    </row>
    <row r="13" spans="1:8" ht="13.5" customHeight="1" x14ac:dyDescent="0.2">
      <c r="A13" s="9" t="s">
        <v>9</v>
      </c>
      <c r="B13" s="10" t="str">
        <f>T("HYPAFIX GENTLE TOUCH DRESSING 4"" X 7' [10CM X 2M]")</f>
        <v>HYPAFIX GENTLE TOUCH DRESSING 4" X 7' [10CM X 2M]</v>
      </c>
      <c r="C13" s="10" t="str">
        <f t="shared" si="2"/>
        <v>BSN MEDICAL INC</v>
      </c>
      <c r="D13" s="10" t="str">
        <f>T("79966-04")</f>
        <v>79966-04</v>
      </c>
      <c r="E13" s="10" t="str">
        <f>T("A4450")</f>
        <v>A4450</v>
      </c>
      <c r="F13" s="10" t="str">
        <f t="shared" si="0"/>
        <v>12/22/2017</v>
      </c>
      <c r="G13" s="10" t="str">
        <f t="shared" si="1"/>
        <v/>
      </c>
      <c r="H13" s="10" t="str">
        <f t="shared" si="1"/>
        <v/>
      </c>
    </row>
    <row r="14" spans="1:8" ht="13.5" customHeight="1" x14ac:dyDescent="0.2">
      <c r="A14" s="9" t="s">
        <v>9</v>
      </c>
      <c r="B14" s="10" t="str">
        <f>T("HYPAFIX GENTLE TOUCH DRESSING 1"" X 8' [2.5CM X 2.5M]")</f>
        <v>HYPAFIX GENTLE TOUCH DRESSING 1" X 8' [2.5CM X 2.5M]</v>
      </c>
      <c r="C14" s="10" t="str">
        <f t="shared" si="2"/>
        <v>BSN MEDICAL INC</v>
      </c>
      <c r="D14" s="10" t="str">
        <f>T("79966-00")</f>
        <v>79966-00</v>
      </c>
      <c r="E14" s="10" t="str">
        <f>T("A4450")</f>
        <v>A4450</v>
      </c>
      <c r="F14" s="10" t="str">
        <f t="shared" si="0"/>
        <v>12/22/2017</v>
      </c>
      <c r="G14" s="10" t="str">
        <f t="shared" si="1"/>
        <v/>
      </c>
      <c r="H14" s="10" t="str">
        <f t="shared" si="1"/>
        <v/>
      </c>
    </row>
    <row r="15" spans="1:8" ht="13.5" customHeight="1" x14ac:dyDescent="0.2">
      <c r="A15" s="9" t="s">
        <v>9</v>
      </c>
      <c r="B15" s="10" t="str">
        <f>T("HYPAFIX GENTLE TOUCH DRESSING 2"" X 16.4' [5CM X 5M]")</f>
        <v>HYPAFIX GENTLE TOUCH DRESSING 2" X 16.4' [5CM X 5M]</v>
      </c>
      <c r="C15" s="10" t="str">
        <f t="shared" si="2"/>
        <v>BSN MEDICAL INC</v>
      </c>
      <c r="D15" s="10" t="str">
        <f>T("79966-01")</f>
        <v>79966-01</v>
      </c>
      <c r="E15" s="10" t="str">
        <f>T("A4450")</f>
        <v>A4450</v>
      </c>
      <c r="F15" s="10" t="str">
        <f t="shared" si="0"/>
        <v>12/22/2017</v>
      </c>
      <c r="G15" s="10" t="str">
        <f t="shared" si="1"/>
        <v/>
      </c>
      <c r="H15" s="10" t="str">
        <f t="shared" si="1"/>
        <v/>
      </c>
    </row>
    <row r="16" spans="1:8" ht="13.5" customHeight="1" x14ac:dyDescent="0.2">
      <c r="A16" s="9" t="s">
        <v>9</v>
      </c>
      <c r="B16" s="10" t="str">
        <f>T("HYPAFIX TRANSPARENT DRESSING 6"" X 33' [15CM X 10M]")</f>
        <v>HYPAFIX TRANSPARENT DRESSING 6" X 33' [15CM X 10M]</v>
      </c>
      <c r="C16" s="10" t="str">
        <f t="shared" si="2"/>
        <v>BSN MEDICAL INC</v>
      </c>
      <c r="D16" s="10" t="str">
        <f>T("72378-02")</f>
        <v>72378-02</v>
      </c>
      <c r="E16" s="10" t="str">
        <f>T("A4452")</f>
        <v>A4452</v>
      </c>
      <c r="F16" s="10" t="str">
        <f t="shared" si="0"/>
        <v>12/22/2017</v>
      </c>
      <c r="G16" s="10" t="str">
        <f t="shared" si="1"/>
        <v/>
      </c>
      <c r="H16" s="10" t="str">
        <f t="shared" si="1"/>
        <v/>
      </c>
    </row>
    <row r="17" spans="1:8" x14ac:dyDescent="0.2">
      <c r="A17" s="9" t="s">
        <v>9</v>
      </c>
      <c r="B17" s="10" t="str">
        <f>T("HYPAFIX TRANSPARENT DRESSING 4"" X 7' [10CM X 2M]")</f>
        <v>HYPAFIX TRANSPARENT DRESSING 4" X 7' [10CM X 2M]</v>
      </c>
      <c r="C17" s="10" t="str">
        <f t="shared" si="2"/>
        <v>BSN MEDICAL INC</v>
      </c>
      <c r="D17" s="10" t="str">
        <f>T("72378-03")</f>
        <v>72378-03</v>
      </c>
      <c r="E17" s="10" t="str">
        <f>T("A4452")</f>
        <v>A4452</v>
      </c>
      <c r="F17" s="10" t="str">
        <f t="shared" si="0"/>
        <v>12/22/2017</v>
      </c>
      <c r="G17" s="10" t="str">
        <f t="shared" si="1"/>
        <v/>
      </c>
      <c r="H17" s="10" t="str">
        <f t="shared" si="1"/>
        <v/>
      </c>
    </row>
    <row r="18" spans="1:8" ht="13.5" customHeight="1" x14ac:dyDescent="0.2">
      <c r="A18" s="9" t="s">
        <v>9</v>
      </c>
      <c r="B18" s="10" t="str">
        <f>T("HYPAFIX TRANSPARENT DRESSING 2"" X 33' [5CM X 10M]")</f>
        <v>HYPAFIX TRANSPARENT DRESSING 2" X 33' [5CM X 10M]</v>
      </c>
      <c r="C18" s="10" t="str">
        <f t="shared" si="2"/>
        <v>BSN MEDICAL INC</v>
      </c>
      <c r="D18" s="10" t="str">
        <f>T("72378-00")</f>
        <v>72378-00</v>
      </c>
      <c r="E18" s="10" t="str">
        <f>T("A4452")</f>
        <v>A4452</v>
      </c>
      <c r="F18" s="10" t="str">
        <f t="shared" si="0"/>
        <v>12/22/2017</v>
      </c>
      <c r="G18" s="10" t="str">
        <f t="shared" si="1"/>
        <v/>
      </c>
      <c r="H18" s="10" t="str">
        <f t="shared" si="1"/>
        <v/>
      </c>
    </row>
    <row r="19" spans="1:8" ht="13.5" customHeight="1" x14ac:dyDescent="0.2">
      <c r="A19" s="9" t="s">
        <v>9</v>
      </c>
      <c r="B19" s="10" t="str">
        <f>T("HYPAFIX TRANSPARENT DRESSING 4"" X 33' [10CM X 10M]")</f>
        <v>HYPAFIX TRANSPARENT DRESSING 4" X 33' [10CM X 10M]</v>
      </c>
      <c r="C19" s="10" t="str">
        <f t="shared" si="2"/>
        <v>BSN MEDICAL INC</v>
      </c>
      <c r="D19" s="10" t="str">
        <f>T("72378-01")</f>
        <v>72378-01</v>
      </c>
      <c r="E19" s="10" t="str">
        <f>T("A4452")</f>
        <v>A4452</v>
      </c>
      <c r="F19" s="10" t="str">
        <f t="shared" si="0"/>
        <v>12/22/2017</v>
      </c>
      <c r="G19" s="10" t="str">
        <f t="shared" si="1"/>
        <v/>
      </c>
      <c r="H19" s="10" t="str">
        <f t="shared" si="1"/>
        <v/>
      </c>
    </row>
    <row r="20" spans="1:8" ht="13.5" customHeight="1" x14ac:dyDescent="0.2">
      <c r="A20" s="9" t="s">
        <v>9</v>
      </c>
      <c r="B20" s="10" t="str">
        <f t="shared" ref="B20:B26" si="3">T("PL-34 BACK BINDER")</f>
        <v>PL-34 BACK BINDER</v>
      </c>
      <c r="C20" s="10" t="str">
        <f t="shared" ref="C20:C26" si="4">T("PROLINE BRACING LLC")</f>
        <v>PROLINE BRACING LLC</v>
      </c>
      <c r="D20" s="10" t="str">
        <f>T("PL-34 (101)")</f>
        <v>PL-34 (101)</v>
      </c>
      <c r="E20" s="10" t="str">
        <f t="shared" ref="E20:E26" si="5">T("A4467")</f>
        <v>A4467</v>
      </c>
      <c r="F20" s="10" t="str">
        <f t="shared" ref="F20:F26" si="6">T("12/21/2017")</f>
        <v>12/21/2017</v>
      </c>
      <c r="G20" s="10" t="str">
        <f t="shared" si="1"/>
        <v/>
      </c>
      <c r="H20" s="10" t="str">
        <f t="shared" si="1"/>
        <v/>
      </c>
    </row>
    <row r="21" spans="1:8" ht="13.5" customHeight="1" x14ac:dyDescent="0.2">
      <c r="A21" s="9" t="s">
        <v>9</v>
      </c>
      <c r="B21" s="10" t="str">
        <f t="shared" si="3"/>
        <v>PL-34 BACK BINDER</v>
      </c>
      <c r="C21" s="10" t="str">
        <f t="shared" si="4"/>
        <v>PROLINE BRACING LLC</v>
      </c>
      <c r="D21" s="10" t="str">
        <f>T("PL-34 (102)")</f>
        <v>PL-34 (102)</v>
      </c>
      <c r="E21" s="10" t="str">
        <f t="shared" si="5"/>
        <v>A4467</v>
      </c>
      <c r="F21" s="10" t="str">
        <f t="shared" si="6"/>
        <v>12/21/2017</v>
      </c>
      <c r="G21" s="10" t="str">
        <f t="shared" si="1"/>
        <v/>
      </c>
      <c r="H21" s="10" t="str">
        <f t="shared" si="1"/>
        <v/>
      </c>
    </row>
    <row r="22" spans="1:8" ht="13.5" customHeight="1" x14ac:dyDescent="0.2">
      <c r="A22" s="9" t="s">
        <v>9</v>
      </c>
      <c r="B22" s="10" t="str">
        <f t="shared" si="3"/>
        <v>PL-34 BACK BINDER</v>
      </c>
      <c r="C22" s="10" t="str">
        <f t="shared" si="4"/>
        <v>PROLINE BRACING LLC</v>
      </c>
      <c r="D22" s="10" t="str">
        <f>T("PL-34 (103)")</f>
        <v>PL-34 (103)</v>
      </c>
      <c r="E22" s="10" t="str">
        <f t="shared" si="5"/>
        <v>A4467</v>
      </c>
      <c r="F22" s="10" t="str">
        <f t="shared" si="6"/>
        <v>12/21/2017</v>
      </c>
      <c r="G22" s="10" t="str">
        <f t="shared" si="1"/>
        <v/>
      </c>
      <c r="H22" s="10" t="str">
        <f t="shared" si="1"/>
        <v/>
      </c>
    </row>
    <row r="23" spans="1:8" ht="13.5" customHeight="1" x14ac:dyDescent="0.2">
      <c r="A23" s="9" t="s">
        <v>9</v>
      </c>
      <c r="B23" s="10" t="str">
        <f t="shared" si="3"/>
        <v>PL-34 BACK BINDER</v>
      </c>
      <c r="C23" s="10" t="str">
        <f t="shared" si="4"/>
        <v>PROLINE BRACING LLC</v>
      </c>
      <c r="D23" s="10" t="str">
        <f>T("PL-34 (104)")</f>
        <v>PL-34 (104)</v>
      </c>
      <c r="E23" s="10" t="str">
        <f t="shared" si="5"/>
        <v>A4467</v>
      </c>
      <c r="F23" s="10" t="str">
        <f t="shared" si="6"/>
        <v>12/21/2017</v>
      </c>
      <c r="G23" s="10" t="str">
        <f t="shared" si="1"/>
        <v/>
      </c>
      <c r="H23" s="10" t="str">
        <f t="shared" si="1"/>
        <v/>
      </c>
    </row>
    <row r="24" spans="1:8" ht="13.5" customHeight="1" x14ac:dyDescent="0.2">
      <c r="A24" s="9" t="s">
        <v>9</v>
      </c>
      <c r="B24" s="10" t="str">
        <f t="shared" si="3"/>
        <v>PL-34 BACK BINDER</v>
      </c>
      <c r="C24" s="10" t="str">
        <f t="shared" si="4"/>
        <v>PROLINE BRACING LLC</v>
      </c>
      <c r="D24" s="10" t="str">
        <f>T("PL-34 (105)")</f>
        <v>PL-34 (105)</v>
      </c>
      <c r="E24" s="10" t="str">
        <f t="shared" si="5"/>
        <v>A4467</v>
      </c>
      <c r="F24" s="10" t="str">
        <f t="shared" si="6"/>
        <v>12/21/2017</v>
      </c>
      <c r="G24" s="10" t="str">
        <f t="shared" si="1"/>
        <v/>
      </c>
      <c r="H24" s="10" t="str">
        <f t="shared" si="1"/>
        <v/>
      </c>
    </row>
    <row r="25" spans="1:8" ht="13.5" customHeight="1" x14ac:dyDescent="0.2">
      <c r="A25" s="9" t="s">
        <v>9</v>
      </c>
      <c r="B25" s="10" t="str">
        <f t="shared" si="3"/>
        <v>PL-34 BACK BINDER</v>
      </c>
      <c r="C25" s="10" t="str">
        <f t="shared" si="4"/>
        <v>PROLINE BRACING LLC</v>
      </c>
      <c r="D25" s="10" t="str">
        <f>T("PL-34 (106)")</f>
        <v>PL-34 (106)</v>
      </c>
      <c r="E25" s="10" t="str">
        <f t="shared" si="5"/>
        <v>A4467</v>
      </c>
      <c r="F25" s="10" t="str">
        <f t="shared" si="6"/>
        <v>12/21/2017</v>
      </c>
      <c r="G25" s="10" t="str">
        <f t="shared" si="1"/>
        <v/>
      </c>
      <c r="H25" s="10" t="str">
        <f t="shared" si="1"/>
        <v/>
      </c>
    </row>
    <row r="26" spans="1:8" ht="13.5" customHeight="1" x14ac:dyDescent="0.2">
      <c r="A26" s="9" t="s">
        <v>9</v>
      </c>
      <c r="B26" s="10" t="str">
        <f t="shared" si="3"/>
        <v>PL-34 BACK BINDER</v>
      </c>
      <c r="C26" s="10" t="str">
        <f t="shared" si="4"/>
        <v>PROLINE BRACING LLC</v>
      </c>
      <c r="D26" s="10" t="str">
        <f>T("PL-34 (107)")</f>
        <v>PL-34 (107)</v>
      </c>
      <c r="E26" s="10" t="str">
        <f t="shared" si="5"/>
        <v>A4467</v>
      </c>
      <c r="F26" s="10" t="str">
        <f t="shared" si="6"/>
        <v>12/21/2017</v>
      </c>
      <c r="G26" s="10" t="str">
        <f t="shared" si="1"/>
        <v/>
      </c>
      <c r="H26" s="10" t="str">
        <f t="shared" si="1"/>
        <v/>
      </c>
    </row>
    <row r="27" spans="1:8" ht="13.5" customHeight="1" x14ac:dyDescent="0.2">
      <c r="A27" s="9" t="s">
        <v>10</v>
      </c>
      <c r="B27" s="6" t="s">
        <v>30</v>
      </c>
      <c r="C27" s="6" t="s">
        <v>31</v>
      </c>
      <c r="D27" s="8" t="s">
        <v>32</v>
      </c>
      <c r="E27" s="6" t="s">
        <v>12</v>
      </c>
      <c r="F27" s="7">
        <v>42954</v>
      </c>
      <c r="G27" s="7">
        <v>43094</v>
      </c>
      <c r="H27" s="6"/>
    </row>
    <row r="28" spans="1:8" ht="13.5" customHeight="1" x14ac:dyDescent="0.2">
      <c r="A28" s="9" t="s">
        <v>9</v>
      </c>
      <c r="B28" s="10" t="str">
        <f>T("HYDROCOLLOID EXTRA THIN DRESSING 4 X 4 IN")</f>
        <v>HYDROCOLLOID EXTRA THIN DRESSING 4 X 4 IN</v>
      </c>
      <c r="C28" s="10" t="str">
        <f>T("HEALQU LLC")</f>
        <v>HEALQU LLC</v>
      </c>
      <c r="D28" s="10" t="str">
        <f>T("9020804")</f>
        <v>9020804</v>
      </c>
      <c r="E28" s="10" t="str">
        <f t="shared" ref="E28:E34" si="7">T("A4649")</f>
        <v>A4649</v>
      </c>
      <c r="F28" s="10" t="str">
        <f t="shared" ref="F28:F34" si="8">T("12/28/2017")</f>
        <v>12/28/2017</v>
      </c>
      <c r="G28" s="10" t="str">
        <f t="shared" ref="G28:H45" si="9">T("")</f>
        <v/>
      </c>
      <c r="H28" s="10" t="str">
        <f t="shared" si="9"/>
        <v/>
      </c>
    </row>
    <row r="29" spans="1:8" ht="13.5" customHeight="1" x14ac:dyDescent="0.2">
      <c r="A29" s="9" t="s">
        <v>9</v>
      </c>
      <c r="B29" s="10" t="str">
        <f>T("ACTISORB SILVER 220 ANITMICROBIAL BINDING DRESSING STERILE 2.6"" X 3.8""")</f>
        <v>ACTISORB SILVER 220 ANITMICROBIAL BINDING DRESSING STERILE 2.6" X 3.8"</v>
      </c>
      <c r="C29" s="10" t="str">
        <f>T("KINETIC CONCEPTS INC")</f>
        <v>KINETIC CONCEPTS INC</v>
      </c>
      <c r="D29" s="10" t="str">
        <f>T("650220")</f>
        <v>650220</v>
      </c>
      <c r="E29" s="10" t="str">
        <f t="shared" si="7"/>
        <v>A4649</v>
      </c>
      <c r="F29" s="10" t="str">
        <f t="shared" si="8"/>
        <v>12/28/2017</v>
      </c>
      <c r="G29" s="10" t="str">
        <f t="shared" si="9"/>
        <v/>
      </c>
      <c r="H29" s="10" t="str">
        <f t="shared" si="9"/>
        <v/>
      </c>
    </row>
    <row r="30" spans="1:8" ht="13.5" customHeight="1" x14ac:dyDescent="0.2">
      <c r="A30" s="9" t="s">
        <v>9</v>
      </c>
      <c r="B30" s="10" t="str">
        <f>T("ACTISORB SILVER 220 ANTIMICROBIAL BINDING DRESSING STERILE 4.2"" X 7.6""")</f>
        <v>ACTISORB SILVER 220 ANTIMICROBIAL BINDING DRESSING STERILE 4.2" X 7.6"</v>
      </c>
      <c r="C30" s="10" t="str">
        <f>T("KINETIC CONCEPTS INC")</f>
        <v>KINETIC CONCEPTS INC</v>
      </c>
      <c r="D30" s="10" t="str">
        <f>T("190220")</f>
        <v>190220</v>
      </c>
      <c r="E30" s="10" t="str">
        <f t="shared" si="7"/>
        <v>A4649</v>
      </c>
      <c r="F30" s="10" t="str">
        <f t="shared" si="8"/>
        <v>12/28/2017</v>
      </c>
      <c r="G30" s="10" t="str">
        <f t="shared" si="9"/>
        <v/>
      </c>
      <c r="H30" s="10" t="str">
        <f t="shared" si="9"/>
        <v/>
      </c>
    </row>
    <row r="31" spans="1:8" ht="13.5" customHeight="1" x14ac:dyDescent="0.2">
      <c r="A31" s="9" t="s">
        <v>9</v>
      </c>
      <c r="B31" s="10" t="str">
        <f>T("ACTISORB SILVER 220 ANTIMICROBIAL BINDING DRESSING STERILE 4.2"" X 4.2""")</f>
        <v>ACTISORB SILVER 220 ANTIMICROBIAL BINDING DRESSING STERILE 4.2" X 4.2"</v>
      </c>
      <c r="C31" s="10" t="str">
        <f>T("KINETIC CONCEPTS INC")</f>
        <v>KINETIC CONCEPTS INC</v>
      </c>
      <c r="D31" s="10" t="str">
        <f>T("105220")</f>
        <v>105220</v>
      </c>
      <c r="E31" s="10" t="str">
        <f t="shared" si="7"/>
        <v>A4649</v>
      </c>
      <c r="F31" s="10" t="str">
        <f t="shared" si="8"/>
        <v>12/28/2017</v>
      </c>
      <c r="G31" s="10" t="str">
        <f t="shared" si="9"/>
        <v/>
      </c>
      <c r="H31" s="10" t="str">
        <f t="shared" si="9"/>
        <v/>
      </c>
    </row>
    <row r="32" spans="1:8" ht="13.5" customHeight="1" x14ac:dyDescent="0.2">
      <c r="A32" s="9" t="s">
        <v>9</v>
      </c>
      <c r="B32" s="10" t="str">
        <f>T("HYDROCOLLOID WOUND DRESSING 2 IN X 2 IN")</f>
        <v>HYDROCOLLOID WOUND DRESSING 2 IN X 2 IN</v>
      </c>
      <c r="C32" s="10" t="str">
        <f>T("HEALQU LLC")</f>
        <v>HEALQU LLC</v>
      </c>
      <c r="D32" s="10" t="str">
        <f>T("9020801")</f>
        <v>9020801</v>
      </c>
      <c r="E32" s="10" t="str">
        <f t="shared" si="7"/>
        <v>A4649</v>
      </c>
      <c r="F32" s="10" t="str">
        <f t="shared" si="8"/>
        <v>12/28/2017</v>
      </c>
      <c r="G32" s="10" t="str">
        <f t="shared" si="9"/>
        <v/>
      </c>
      <c r="H32" s="10" t="str">
        <f t="shared" si="9"/>
        <v/>
      </c>
    </row>
    <row r="33" spans="1:8" ht="13.5" customHeight="1" x14ac:dyDescent="0.2">
      <c r="A33" s="9" t="s">
        <v>9</v>
      </c>
      <c r="B33" s="10" t="str">
        <f>T("HYDROCOLLOID WOUND DRESSING 4 IN X 4 IN")</f>
        <v>HYDROCOLLOID WOUND DRESSING 4 IN X 4 IN</v>
      </c>
      <c r="C33" s="10" t="str">
        <f>T("HEALQU LLC")</f>
        <v>HEALQU LLC</v>
      </c>
      <c r="D33" s="10" t="str">
        <f>T("9020802")</f>
        <v>9020802</v>
      </c>
      <c r="E33" s="10" t="str">
        <f t="shared" si="7"/>
        <v>A4649</v>
      </c>
      <c r="F33" s="10" t="str">
        <f t="shared" si="8"/>
        <v>12/28/2017</v>
      </c>
      <c r="G33" s="10" t="str">
        <f t="shared" si="9"/>
        <v/>
      </c>
      <c r="H33" s="10" t="str">
        <f t="shared" si="9"/>
        <v/>
      </c>
    </row>
    <row r="34" spans="1:8" ht="13.5" customHeight="1" x14ac:dyDescent="0.2">
      <c r="A34" s="9" t="s">
        <v>9</v>
      </c>
      <c r="B34" s="10" t="str">
        <f>T("HYDROCOLLOID FOAM DRESSING 4 IN X 4 IN")</f>
        <v>HYDROCOLLOID FOAM DRESSING 4 IN X 4 IN</v>
      </c>
      <c r="C34" s="10" t="str">
        <f>T("HEALQU LLC")</f>
        <v>HEALQU LLC</v>
      </c>
      <c r="D34" s="10" t="str">
        <f>T("9020805")</f>
        <v>9020805</v>
      </c>
      <c r="E34" s="10" t="str">
        <f t="shared" si="7"/>
        <v>A4649</v>
      </c>
      <c r="F34" s="10" t="str">
        <f t="shared" si="8"/>
        <v>12/28/2017</v>
      </c>
      <c r="G34" s="10" t="str">
        <f t="shared" si="9"/>
        <v/>
      </c>
      <c r="H34" s="10" t="str">
        <f t="shared" si="9"/>
        <v/>
      </c>
    </row>
    <row r="35" spans="1:8" ht="13.5" customHeight="1" x14ac:dyDescent="0.2">
      <c r="A35" s="9" t="s">
        <v>9</v>
      </c>
      <c r="B35" s="10" t="str">
        <f>T("MEDIGUARD ES NITRILE EXAM GLOVE")</f>
        <v>MEDIGUARD ES NITRILE EXAM GLOVE</v>
      </c>
      <c r="C35" s="10" t="str">
        <f t="shared" ref="C35:C44" si="10">T("MEDLINE INDUSTRIES INC")</f>
        <v>MEDLINE INDUSTRIES INC</v>
      </c>
      <c r="D35" s="10" t="str">
        <f>T("MG100XS")</f>
        <v>MG100XS</v>
      </c>
      <c r="E35" s="10" t="str">
        <f t="shared" ref="E35:E44" si="11">T("A4927")</f>
        <v>A4927</v>
      </c>
      <c r="F35" s="10" t="str">
        <f>T("12/21/2017")</f>
        <v>12/21/2017</v>
      </c>
      <c r="G35" s="10" t="str">
        <f t="shared" si="9"/>
        <v/>
      </c>
      <c r="H35" s="10" t="str">
        <f t="shared" si="9"/>
        <v/>
      </c>
    </row>
    <row r="36" spans="1:8" ht="13.5" customHeight="1" x14ac:dyDescent="0.2">
      <c r="A36" s="9" t="s">
        <v>9</v>
      </c>
      <c r="B36" s="10" t="str">
        <f>T("MEDIGUARD ES NITRILE EXAM GLOVE")</f>
        <v>MEDIGUARD ES NITRILE EXAM GLOVE</v>
      </c>
      <c r="C36" s="10" t="str">
        <f t="shared" si="10"/>
        <v>MEDLINE INDUSTRIES INC</v>
      </c>
      <c r="D36" s="10" t="str">
        <f>T("MG100S")</f>
        <v>MG100S</v>
      </c>
      <c r="E36" s="10" t="str">
        <f t="shared" si="11"/>
        <v>A4927</v>
      </c>
      <c r="F36" s="10" t="str">
        <f>T("12/21/2017")</f>
        <v>12/21/2017</v>
      </c>
      <c r="G36" s="10" t="str">
        <f t="shared" si="9"/>
        <v/>
      </c>
      <c r="H36" s="10" t="str">
        <f t="shared" si="9"/>
        <v/>
      </c>
    </row>
    <row r="37" spans="1:8" ht="13.5" customHeight="1" x14ac:dyDescent="0.2">
      <c r="A37" s="9" t="s">
        <v>9</v>
      </c>
      <c r="B37" s="10" t="str">
        <f>T("MEDIGUARD ES NITRILE EXAM GLOVE")</f>
        <v>MEDIGUARD ES NITRILE EXAM GLOVE</v>
      </c>
      <c r="C37" s="10" t="str">
        <f t="shared" si="10"/>
        <v>MEDLINE INDUSTRIES INC</v>
      </c>
      <c r="D37" s="10" t="str">
        <f>T("MG100M")</f>
        <v>MG100M</v>
      </c>
      <c r="E37" s="10" t="str">
        <f t="shared" si="11"/>
        <v>A4927</v>
      </c>
      <c r="F37" s="10" t="str">
        <f>T("12/21/2017")</f>
        <v>12/21/2017</v>
      </c>
      <c r="G37" s="10" t="str">
        <f t="shared" si="9"/>
        <v/>
      </c>
      <c r="H37" s="10" t="str">
        <f t="shared" si="9"/>
        <v/>
      </c>
    </row>
    <row r="38" spans="1:8" ht="13.5" customHeight="1" x14ac:dyDescent="0.2">
      <c r="A38" s="9" t="s">
        <v>9</v>
      </c>
      <c r="B38" s="10" t="str">
        <f>T("MEDIGUARD ES NITRILE EXAM GLOVE")</f>
        <v>MEDIGUARD ES NITRILE EXAM GLOVE</v>
      </c>
      <c r="C38" s="10" t="str">
        <f t="shared" si="10"/>
        <v>MEDLINE INDUSTRIES INC</v>
      </c>
      <c r="D38" s="10" t="str">
        <f>T("MG100L")</f>
        <v>MG100L</v>
      </c>
      <c r="E38" s="10" t="str">
        <f t="shared" si="11"/>
        <v>A4927</v>
      </c>
      <c r="F38" s="10" t="str">
        <f>T("12/21/2017")</f>
        <v>12/21/2017</v>
      </c>
      <c r="G38" s="10" t="str">
        <f t="shared" si="9"/>
        <v/>
      </c>
      <c r="H38" s="10" t="str">
        <f t="shared" si="9"/>
        <v/>
      </c>
    </row>
    <row r="39" spans="1:8" ht="13.5" customHeight="1" x14ac:dyDescent="0.2">
      <c r="A39" s="9" t="s">
        <v>9</v>
      </c>
      <c r="B39" s="10" t="str">
        <f>T("MEDIGUARD ES NITRILE EXAM GLOVE")</f>
        <v>MEDIGUARD ES NITRILE EXAM GLOVE</v>
      </c>
      <c r="C39" s="10" t="str">
        <f t="shared" si="10"/>
        <v>MEDLINE INDUSTRIES INC</v>
      </c>
      <c r="D39" s="10" t="str">
        <f>T("MG100XL")</f>
        <v>MG100XL</v>
      </c>
      <c r="E39" s="10" t="str">
        <f t="shared" si="11"/>
        <v>A4927</v>
      </c>
      <c r="F39" s="10" t="str">
        <f>T("12/21/2017")</f>
        <v>12/21/2017</v>
      </c>
      <c r="G39" s="10" t="str">
        <f t="shared" si="9"/>
        <v/>
      </c>
      <c r="H39" s="10" t="str">
        <f t="shared" si="9"/>
        <v/>
      </c>
    </row>
    <row r="40" spans="1:8" ht="13.5" customHeight="1" x14ac:dyDescent="0.2">
      <c r="A40" s="9" t="s">
        <v>9</v>
      </c>
      <c r="B40" s="10" t="str">
        <f>T("FITGUARD TOUCH NITRILE EXAM GLOVE")</f>
        <v>FITGUARD TOUCH NITRILE EXAM GLOVE</v>
      </c>
      <c r="C40" s="10" t="str">
        <f t="shared" si="10"/>
        <v>MEDLINE INDUSTRIES INC</v>
      </c>
      <c r="D40" s="10" t="str">
        <f>T("FG100M")</f>
        <v>FG100M</v>
      </c>
      <c r="E40" s="10" t="str">
        <f t="shared" si="11"/>
        <v>A4927</v>
      </c>
      <c r="F40" s="10" t="str">
        <f>T("12/27/2017")</f>
        <v>12/27/2017</v>
      </c>
      <c r="G40" s="10" t="str">
        <f t="shared" si="9"/>
        <v/>
      </c>
      <c r="H40" s="10" t="str">
        <f t="shared" si="9"/>
        <v/>
      </c>
    </row>
    <row r="41" spans="1:8" ht="13.5" customHeight="1" x14ac:dyDescent="0.2">
      <c r="A41" s="9" t="s">
        <v>9</v>
      </c>
      <c r="B41" s="10" t="str">
        <f>T("FITGUARD TOUCH NITRILE EXAM GLOVE")</f>
        <v>FITGUARD TOUCH NITRILE EXAM GLOVE</v>
      </c>
      <c r="C41" s="10" t="str">
        <f t="shared" si="10"/>
        <v>MEDLINE INDUSTRIES INC</v>
      </c>
      <c r="D41" s="10" t="str">
        <f>T("FG100L")</f>
        <v>FG100L</v>
      </c>
      <c r="E41" s="10" t="str">
        <f t="shared" si="11"/>
        <v>A4927</v>
      </c>
      <c r="F41" s="10" t="str">
        <f>T("12/27/2017")</f>
        <v>12/27/2017</v>
      </c>
      <c r="G41" s="10" t="str">
        <f t="shared" si="9"/>
        <v/>
      </c>
      <c r="H41" s="10" t="str">
        <f t="shared" si="9"/>
        <v/>
      </c>
    </row>
    <row r="42" spans="1:8" ht="13.5" customHeight="1" x14ac:dyDescent="0.2">
      <c r="A42" s="9" t="s">
        <v>9</v>
      </c>
      <c r="B42" s="10" t="str">
        <f>T("FITGUARD TOUCH NITRILE EXAM GLOVE")</f>
        <v>FITGUARD TOUCH NITRILE EXAM GLOVE</v>
      </c>
      <c r="C42" s="10" t="str">
        <f t="shared" si="10"/>
        <v>MEDLINE INDUSTRIES INC</v>
      </c>
      <c r="D42" s="10" t="str">
        <f>T("FG100XL")</f>
        <v>FG100XL</v>
      </c>
      <c r="E42" s="10" t="str">
        <f t="shared" si="11"/>
        <v>A4927</v>
      </c>
      <c r="F42" s="10" t="str">
        <f>T("12/27/2017")</f>
        <v>12/27/2017</v>
      </c>
      <c r="G42" s="10" t="str">
        <f t="shared" si="9"/>
        <v/>
      </c>
      <c r="H42" s="10" t="str">
        <f t="shared" si="9"/>
        <v/>
      </c>
    </row>
    <row r="43" spans="1:8" ht="13.5" customHeight="1" x14ac:dyDescent="0.2">
      <c r="A43" s="9" t="s">
        <v>9</v>
      </c>
      <c r="B43" s="10" t="str">
        <f>T("FITGUARD TOUCH NITRILE EXAM GLOVE")</f>
        <v>FITGUARD TOUCH NITRILE EXAM GLOVE</v>
      </c>
      <c r="C43" s="10" t="str">
        <f t="shared" si="10"/>
        <v>MEDLINE INDUSTRIES INC</v>
      </c>
      <c r="D43" s="10" t="str">
        <f>T("FG100XS")</f>
        <v>FG100XS</v>
      </c>
      <c r="E43" s="10" t="str">
        <f t="shared" si="11"/>
        <v>A4927</v>
      </c>
      <c r="F43" s="10" t="str">
        <f>T("12/27/2017")</f>
        <v>12/27/2017</v>
      </c>
      <c r="G43" s="10" t="str">
        <f t="shared" si="9"/>
        <v/>
      </c>
      <c r="H43" s="10" t="str">
        <f t="shared" si="9"/>
        <v/>
      </c>
    </row>
    <row r="44" spans="1:8" ht="13.5" customHeight="1" x14ac:dyDescent="0.2">
      <c r="A44" s="9" t="s">
        <v>9</v>
      </c>
      <c r="B44" s="10" t="str">
        <f>T("FITGUARD TOUCH NITRILE EXAM GLOVE")</f>
        <v>FITGUARD TOUCH NITRILE EXAM GLOVE</v>
      </c>
      <c r="C44" s="10" t="str">
        <f t="shared" si="10"/>
        <v>MEDLINE INDUSTRIES INC</v>
      </c>
      <c r="D44" s="10" t="str">
        <f>T("FG100S")</f>
        <v>FG100S</v>
      </c>
      <c r="E44" s="10" t="str">
        <f t="shared" si="11"/>
        <v>A4927</v>
      </c>
      <c r="F44" s="10" t="str">
        <f>T("12/27/2017")</f>
        <v>12/27/2017</v>
      </c>
      <c r="G44" s="10" t="str">
        <f t="shared" si="9"/>
        <v/>
      </c>
      <c r="H44" s="10" t="str">
        <f t="shared" si="9"/>
        <v/>
      </c>
    </row>
    <row r="45" spans="1:8" ht="13.5" customHeight="1" x14ac:dyDescent="0.2">
      <c r="A45" s="9" t="s">
        <v>9</v>
      </c>
      <c r="B45" s="10" t="str">
        <f>T("880V7")</f>
        <v>880V7</v>
      </c>
      <c r="C45" s="10" t="str">
        <f>T("NEW BALANCE ATHLETICS INC")</f>
        <v>NEW BALANCE ATHLETICS INC</v>
      </c>
      <c r="D45" s="10" t="str">
        <f>T("M880GY7")</f>
        <v>M880GY7</v>
      </c>
      <c r="E45" s="10" t="str">
        <f>T("A5500")</f>
        <v>A5500</v>
      </c>
      <c r="F45" s="10" t="str">
        <f>T("12/04/2017")</f>
        <v>12/04/2017</v>
      </c>
      <c r="G45" s="10" t="str">
        <f t="shared" si="9"/>
        <v/>
      </c>
      <c r="H45" s="10" t="str">
        <f t="shared" si="9"/>
        <v/>
      </c>
    </row>
    <row r="46" spans="1:8" ht="13.5" customHeight="1" x14ac:dyDescent="0.2">
      <c r="A46" s="9" t="s">
        <v>9</v>
      </c>
      <c r="B46" s="10" t="str">
        <f>T("880V7")</f>
        <v>880V7</v>
      </c>
      <c r="C46" s="10" t="str">
        <f>T("NEW BALANCE ATHLETICS INC")</f>
        <v>NEW BALANCE ATHLETICS INC</v>
      </c>
      <c r="D46" s="10" t="str">
        <f>T("W880GB7")</f>
        <v>W880GB7</v>
      </c>
      <c r="E46" s="10" t="str">
        <f>T("A5500")</f>
        <v>A5500</v>
      </c>
      <c r="F46" s="10" t="str">
        <f>T("12/04/2017")</f>
        <v>12/04/2017</v>
      </c>
      <c r="G46" s="10" t="str">
        <f>T("")</f>
        <v/>
      </c>
      <c r="H46" s="10"/>
    </row>
    <row r="47" spans="1:8" ht="13.5" customHeight="1" x14ac:dyDescent="0.2">
      <c r="A47" s="9" t="s">
        <v>10</v>
      </c>
      <c r="B47" s="5" t="str">
        <f>T("880V7")</f>
        <v>880V7</v>
      </c>
      <c r="C47" s="5" t="str">
        <f>T("NEW BALANCE ATHLETICS INC")</f>
        <v>NEW BALANCE ATHLETICS INC</v>
      </c>
      <c r="D47" s="5" t="str">
        <f>T("M88OGY7")</f>
        <v>M88OGY7</v>
      </c>
      <c r="E47" s="5" t="str">
        <f>T("A5500")</f>
        <v>A5500</v>
      </c>
      <c r="F47" s="5" t="str">
        <f>T("10/17/2016")</f>
        <v>10/17/2016</v>
      </c>
      <c r="G47" s="5" t="str">
        <f>T("12/03/2017")</f>
        <v>12/03/2017</v>
      </c>
      <c r="H47" s="5" t="str">
        <f t="shared" ref="H47:H54" si="12">T("")</f>
        <v/>
      </c>
    </row>
    <row r="48" spans="1:8" ht="13.5" customHeight="1" x14ac:dyDescent="0.2">
      <c r="A48" s="9" t="s">
        <v>10</v>
      </c>
      <c r="B48" s="5" t="str">
        <f>T("880V7")</f>
        <v>880V7</v>
      </c>
      <c r="C48" s="5" t="str">
        <f>T("NEW BALANCE ATHLETICS INC")</f>
        <v>NEW BALANCE ATHLETICS INC</v>
      </c>
      <c r="D48" s="5" t="str">
        <f>T("W88OGB7")</f>
        <v>W88OGB7</v>
      </c>
      <c r="E48" s="5" t="str">
        <f>T("A5500")</f>
        <v>A5500</v>
      </c>
      <c r="F48" s="5" t="str">
        <f>T("10/17/2016")</f>
        <v>10/17/2016</v>
      </c>
      <c r="G48" s="5" t="str">
        <f>T("12/03/2017")</f>
        <v>12/03/2017</v>
      </c>
      <c r="H48" s="5" t="str">
        <f t="shared" si="12"/>
        <v/>
      </c>
    </row>
    <row r="49" spans="1:8" ht="13.5" customHeight="1" x14ac:dyDescent="0.2">
      <c r="A49" s="9" t="s">
        <v>9</v>
      </c>
      <c r="B49" s="10" t="str">
        <f>T("LORETA")</f>
        <v>LORETA</v>
      </c>
      <c r="C49" s="10" t="str">
        <f>T("B &amp; S PARTNERS INC (DBA PILGRIM SHOES)")</f>
        <v>B &amp; S PARTNERS INC (DBA PILGRIM SHOES)</v>
      </c>
      <c r="D49" s="10" t="str">
        <f>T("P3166")</f>
        <v>P3166</v>
      </c>
      <c r="E49" s="10" t="str">
        <f>T("A5500 OR L3217")</f>
        <v>A5500 OR L3217</v>
      </c>
      <c r="F49" s="10" t="str">
        <f>T("12/21/2017")</f>
        <v>12/21/2017</v>
      </c>
      <c r="G49" s="10" t="str">
        <f t="shared" ref="G49:G54" si="13">T("")</f>
        <v/>
      </c>
      <c r="H49" s="10" t="str">
        <f t="shared" si="12"/>
        <v/>
      </c>
    </row>
    <row r="50" spans="1:8" ht="13.5" customHeight="1" x14ac:dyDescent="0.2">
      <c r="A50" s="9" t="s">
        <v>9</v>
      </c>
      <c r="B50" s="10" t="str">
        <f>T("NARZIO-TOP BLACK")</f>
        <v>NARZIO-TOP BLACK</v>
      </c>
      <c r="C50" s="10" t="str">
        <f>T("NARZIO AMERICA LLC")</f>
        <v>NARZIO AMERICA LLC</v>
      </c>
      <c r="D50" s="10" t="str">
        <f>T("")</f>
        <v/>
      </c>
      <c r="E50" s="10" t="str">
        <f>T("A5500 OR L3217 OR L3222")</f>
        <v>A5500 OR L3217 OR L3222</v>
      </c>
      <c r="F50" s="10" t="str">
        <f>T("12/29/2017")</f>
        <v>12/29/2017</v>
      </c>
      <c r="G50" s="10" t="str">
        <f t="shared" si="13"/>
        <v/>
      </c>
      <c r="H50" s="10" t="str">
        <f t="shared" si="12"/>
        <v/>
      </c>
    </row>
    <row r="51" spans="1:8" ht="13.5" customHeight="1" x14ac:dyDescent="0.2">
      <c r="A51" s="9" t="s">
        <v>9</v>
      </c>
      <c r="B51" s="10" t="str">
        <f>T("NARZIO-TOP WHITE")</f>
        <v>NARZIO-TOP WHITE</v>
      </c>
      <c r="C51" s="10" t="str">
        <f>T("NARZIO AMERICA LLC")</f>
        <v>NARZIO AMERICA LLC</v>
      </c>
      <c r="D51" s="10" t="str">
        <f>T("")</f>
        <v/>
      </c>
      <c r="E51" s="10" t="str">
        <f>T("A5500 OR L3217 OR L3222")</f>
        <v>A5500 OR L3217 OR L3222</v>
      </c>
      <c r="F51" s="10" t="str">
        <f>T("12/29/2017")</f>
        <v>12/29/2017</v>
      </c>
      <c r="G51" s="10" t="str">
        <f t="shared" si="13"/>
        <v/>
      </c>
      <c r="H51" s="10" t="str">
        <f t="shared" si="12"/>
        <v/>
      </c>
    </row>
    <row r="52" spans="1:8" ht="13.5" customHeight="1" x14ac:dyDescent="0.2">
      <c r="A52" s="9" t="s">
        <v>9</v>
      </c>
      <c r="B52" s="10" t="str">
        <f>T("NARZIO-TOP WINE")</f>
        <v>NARZIO-TOP WINE</v>
      </c>
      <c r="C52" s="10" t="str">
        <f>T("NARZIO AMERICA LLC")</f>
        <v>NARZIO AMERICA LLC</v>
      </c>
      <c r="D52" s="10" t="str">
        <f>T("")</f>
        <v/>
      </c>
      <c r="E52" s="10" t="str">
        <f>T("A5500 OR L3217 OR L3222")</f>
        <v>A5500 OR L3217 OR L3222</v>
      </c>
      <c r="F52" s="10" t="str">
        <f>T("12/29/2017")</f>
        <v>12/29/2017</v>
      </c>
      <c r="G52" s="10" t="str">
        <f t="shared" si="13"/>
        <v/>
      </c>
      <c r="H52" s="10" t="str">
        <f t="shared" si="12"/>
        <v/>
      </c>
    </row>
    <row r="53" spans="1:8" ht="13.5" customHeight="1" x14ac:dyDescent="0.2">
      <c r="A53" s="9" t="s">
        <v>9</v>
      </c>
      <c r="B53" s="10" t="str">
        <f>T("CUSTOM EVA MOLED DIABETIC INSERT")</f>
        <v>CUSTOM EVA MOLED DIABETIC INSERT</v>
      </c>
      <c r="C53" s="10" t="str">
        <f>T("OREGON PEDORTHIC SERVICES INC (DBA ARCH FITTERS)")</f>
        <v>OREGON PEDORTHIC SERVICES INC (DBA ARCH FITTERS)</v>
      </c>
      <c r="D53" s="10" t="str">
        <f>T("CM901")</f>
        <v>CM901</v>
      </c>
      <c r="E53" s="10" t="str">
        <f>T("A5513")</f>
        <v>A5513</v>
      </c>
      <c r="F53" s="10" t="str">
        <f>T("12/22/2017")</f>
        <v>12/22/2017</v>
      </c>
      <c r="G53" s="10" t="str">
        <f t="shared" si="13"/>
        <v/>
      </c>
      <c r="H53" s="10" t="str">
        <f t="shared" si="12"/>
        <v/>
      </c>
    </row>
    <row r="54" spans="1:8" ht="13.5" customHeight="1" x14ac:dyDescent="0.2">
      <c r="A54" s="9" t="s">
        <v>9</v>
      </c>
      <c r="B54" s="10" t="str">
        <f>T("FIBRACOL PLUS COLLAGEN WOUND DRESSING WITH ALGINATE 2"" X 2""")</f>
        <v>FIBRACOL PLUS COLLAGEN WOUND DRESSING WITH ALGINATE 2" X 2"</v>
      </c>
      <c r="C54" s="10" t="str">
        <f>T("KINETIC CONCEPTS INC")</f>
        <v>KINETIC CONCEPTS INC</v>
      </c>
      <c r="D54" s="10" t="str">
        <f>T("2981")</f>
        <v>2981</v>
      </c>
      <c r="E54" s="10" t="str">
        <f>T("A6021")</f>
        <v>A6021</v>
      </c>
      <c r="F54" s="10" t="str">
        <f>T("12/05/2017")</f>
        <v>12/05/2017</v>
      </c>
      <c r="G54" s="10" t="str">
        <f t="shared" si="13"/>
        <v/>
      </c>
      <c r="H54" s="10" t="str">
        <f t="shared" si="12"/>
        <v/>
      </c>
    </row>
    <row r="55" spans="1:8" ht="13.5" customHeight="1" x14ac:dyDescent="0.2">
      <c r="A55" s="9" t="s">
        <v>10</v>
      </c>
      <c r="B55" s="6" t="s">
        <v>13</v>
      </c>
      <c r="C55" s="6" t="s">
        <v>14</v>
      </c>
      <c r="D55" s="6"/>
      <c r="E55" s="6" t="s">
        <v>15</v>
      </c>
      <c r="F55" s="7">
        <v>36922</v>
      </c>
      <c r="G55" s="7">
        <v>43073</v>
      </c>
      <c r="H55" s="6"/>
    </row>
    <row r="56" spans="1:8" ht="13.5" customHeight="1" x14ac:dyDescent="0.2">
      <c r="A56" s="9" t="s">
        <v>9</v>
      </c>
      <c r="B56" s="10" t="str">
        <f>T("FIBRACOL PLUS COLLAGEN WOUND DRESSING WITH ALGINATE 4"" X 4 3/8""")</f>
        <v>FIBRACOL PLUS COLLAGEN WOUND DRESSING WITH ALGINATE 4" X 4 3/8"</v>
      </c>
      <c r="C56" s="10" t="str">
        <f>T("KINETIC CONCEPTS INC")</f>
        <v>KINETIC CONCEPTS INC</v>
      </c>
      <c r="D56" s="10" t="str">
        <f>T("2982")</f>
        <v>2982</v>
      </c>
      <c r="E56" s="10" t="str">
        <f>T("A6022")</f>
        <v>A6022</v>
      </c>
      <c r="F56" s="10" t="str">
        <f>T("12/08/2017")</f>
        <v>12/08/2017</v>
      </c>
      <c r="G56" s="10" t="str">
        <f t="shared" ref="G56:H58" si="14">T("")</f>
        <v/>
      </c>
      <c r="H56" s="10" t="str">
        <f t="shared" si="14"/>
        <v/>
      </c>
    </row>
    <row r="57" spans="1:8" ht="13.5" customHeight="1" x14ac:dyDescent="0.2">
      <c r="A57" s="9" t="s">
        <v>9</v>
      </c>
      <c r="B57" s="10" t="str">
        <f>T("FIBRACOL PLUS COLLAGEN WOUND DRESSING WITH ALGINATE 4"" X 8 3/4""")</f>
        <v>FIBRACOL PLUS COLLAGEN WOUND DRESSING WITH ALGINATE 4" X 8 3/4"</v>
      </c>
      <c r="C57" s="10" t="str">
        <f>T("KINETIC CONCEPTS INC")</f>
        <v>KINETIC CONCEPTS INC</v>
      </c>
      <c r="D57" s="10" t="str">
        <f>T("2983")</f>
        <v>2983</v>
      </c>
      <c r="E57" s="10" t="str">
        <f>T("A6022")</f>
        <v>A6022</v>
      </c>
      <c r="F57" s="10" t="str">
        <f>T("12/08/2017")</f>
        <v>12/08/2017</v>
      </c>
      <c r="G57" s="10" t="str">
        <f t="shared" si="14"/>
        <v/>
      </c>
      <c r="H57" s="10" t="str">
        <f t="shared" si="14"/>
        <v/>
      </c>
    </row>
    <row r="58" spans="1:8" ht="13.5" customHeight="1" x14ac:dyDescent="0.2">
      <c r="A58" s="9" t="s">
        <v>9</v>
      </c>
      <c r="B58" s="10" t="str">
        <f>T("FIBRACOL PLUS COLLAGEN WOUND DRESSING WITH ALGINATE 3/8"" X 3/8"" X 15 3/4""")</f>
        <v>FIBRACOL PLUS COLLAGEN WOUND DRESSING WITH ALGINATE 3/8" X 3/8" X 15 3/4"</v>
      </c>
      <c r="C58" s="10" t="str">
        <f>T("KINETIC CONCEPTS INC")</f>
        <v>KINETIC CONCEPTS INC</v>
      </c>
      <c r="D58" s="10" t="str">
        <f>T("2984")</f>
        <v>2984</v>
      </c>
      <c r="E58" s="10" t="str">
        <f>T("A6024")</f>
        <v>A6024</v>
      </c>
      <c r="F58" s="10" t="str">
        <f>T("12/05/2017")</f>
        <v>12/05/2017</v>
      </c>
      <c r="G58" s="10" t="str">
        <f t="shared" si="14"/>
        <v/>
      </c>
      <c r="H58" s="10" t="str">
        <f t="shared" si="14"/>
        <v/>
      </c>
    </row>
    <row r="59" spans="1:8" ht="13.5" customHeight="1" x14ac:dyDescent="0.2">
      <c r="A59" s="9" t="s">
        <v>10</v>
      </c>
      <c r="B59" s="6" t="s">
        <v>16</v>
      </c>
      <c r="C59" s="6" t="s">
        <v>14</v>
      </c>
      <c r="D59" s="6"/>
      <c r="E59" s="6" t="s">
        <v>17</v>
      </c>
      <c r="F59" s="7">
        <v>36922</v>
      </c>
      <c r="G59" s="7">
        <v>43073</v>
      </c>
      <c r="H59" s="6"/>
    </row>
    <row r="60" spans="1:8" ht="13.5" customHeight="1" x14ac:dyDescent="0.2">
      <c r="A60" s="9" t="s">
        <v>9</v>
      </c>
      <c r="B60" s="10" t="str">
        <f>T("MEDVANCE ALGINATE")</f>
        <v>MEDVANCE ALGINATE</v>
      </c>
      <c r="C60" s="10" t="str">
        <f>T("MED WAY INC")</f>
        <v>MED WAY INC</v>
      </c>
      <c r="D60" s="10" t="str">
        <f>T("V4000202")</f>
        <v>V4000202</v>
      </c>
      <c r="E60" s="10" t="str">
        <f>T("A6196")</f>
        <v>A6196</v>
      </c>
      <c r="F60" s="10" t="str">
        <f>T("12/04/2017")</f>
        <v>12/04/2017</v>
      </c>
      <c r="G60" s="10" t="str">
        <f t="shared" ref="G60:H62" si="15">T("")</f>
        <v/>
      </c>
      <c r="H60" s="10" t="str">
        <f t="shared" si="15"/>
        <v/>
      </c>
    </row>
    <row r="61" spans="1:8" ht="13.5" customHeight="1" x14ac:dyDescent="0.2">
      <c r="A61" s="9" t="s">
        <v>9</v>
      </c>
      <c r="B61" s="10" t="str">
        <f>T("NU-DERM ALGINATE WOUND DRESSINGS STERILE 2"" X 2""")</f>
        <v>NU-DERM ALGINATE WOUND DRESSINGS STERILE 2" X 2"</v>
      </c>
      <c r="C61" s="10" t="str">
        <f>T("KINETIC CONCEPTS INC")</f>
        <v>KINETIC CONCEPTS INC</v>
      </c>
      <c r="D61" s="10" t="str">
        <f>T("AWD202")</f>
        <v>AWD202</v>
      </c>
      <c r="E61" s="10" t="str">
        <f>T("A6196")</f>
        <v>A6196</v>
      </c>
      <c r="F61" s="10" t="str">
        <f>T("12/18/2017")</f>
        <v>12/18/2017</v>
      </c>
      <c r="G61" s="10" t="str">
        <f t="shared" si="15"/>
        <v/>
      </c>
      <c r="H61" s="10" t="str">
        <f t="shared" si="15"/>
        <v/>
      </c>
    </row>
    <row r="62" spans="1:8" ht="13.5" customHeight="1" x14ac:dyDescent="0.2">
      <c r="A62" s="9" t="s">
        <v>9</v>
      </c>
      <c r="B62" s="10" t="str">
        <f>T("NU-DERM ALGINATE WOUND DRESSINGS STERILE 4"" X 4""")</f>
        <v>NU-DERM ALGINATE WOUND DRESSINGS STERILE 4" X 4"</v>
      </c>
      <c r="C62" s="10" t="str">
        <f>T("KINETIC CONCEPTS INC")</f>
        <v>KINETIC CONCEPTS INC</v>
      </c>
      <c r="D62" s="10" t="str">
        <f>T("AWD404")</f>
        <v>AWD404</v>
      </c>
      <c r="E62" s="10" t="str">
        <f>T("A6196")</f>
        <v>A6196</v>
      </c>
      <c r="F62" s="10" t="str">
        <f>T("12/18/2017")</f>
        <v>12/18/2017</v>
      </c>
      <c r="G62" s="10" t="str">
        <f t="shared" si="15"/>
        <v/>
      </c>
      <c r="H62" s="10" t="str">
        <f t="shared" si="15"/>
        <v/>
      </c>
    </row>
    <row r="63" spans="1:8" ht="13.5" customHeight="1" x14ac:dyDescent="0.2">
      <c r="A63" s="9" t="s">
        <v>10</v>
      </c>
      <c r="B63" s="5" t="str">
        <f>T("NU-DERM ALGINATE WOUND DRESSING")</f>
        <v>NU-DERM ALGINATE WOUND DRESSING</v>
      </c>
      <c r="C63" s="5" t="str">
        <f>T("ETHICON INC (A JOHNSON &amp; JOHNSON COMPANY)")</f>
        <v>ETHICON INC (A JOHNSON &amp; JOHNSON COMPANY)</v>
      </c>
      <c r="D63" s="5" t="str">
        <f>T("")</f>
        <v/>
      </c>
      <c r="E63" s="5" t="str">
        <f>T("A6196")</f>
        <v>A6196</v>
      </c>
      <c r="F63" s="5" t="str">
        <f>T("03/05/2003")</f>
        <v>03/05/2003</v>
      </c>
      <c r="G63" s="5" t="str">
        <f>T("12/17/2017")</f>
        <v>12/17/2017</v>
      </c>
      <c r="H63" s="5"/>
    </row>
    <row r="64" spans="1:8" ht="13.5" customHeight="1" x14ac:dyDescent="0.2">
      <c r="A64" s="9" t="s">
        <v>9</v>
      </c>
      <c r="B64" s="10" t="str">
        <f>T("MEDVANCE ALGINATE")</f>
        <v>MEDVANCE ALGINATE</v>
      </c>
      <c r="C64" s="10" t="str">
        <f>T("MED WAY INC")</f>
        <v>MED WAY INC</v>
      </c>
      <c r="D64" s="10" t="str">
        <f>T("V4000408")</f>
        <v>V4000408</v>
      </c>
      <c r="E64" s="10" t="str">
        <f>T("A6197")</f>
        <v>A6197</v>
      </c>
      <c r="F64" s="10" t="str">
        <f>T("12/04/2017")</f>
        <v>12/04/2017</v>
      </c>
      <c r="G64" s="10" t="str">
        <f>T("")</f>
        <v/>
      </c>
      <c r="H64" s="10" t="str">
        <f>T("")</f>
        <v/>
      </c>
    </row>
    <row r="65" spans="1:8" ht="13.5" customHeight="1" x14ac:dyDescent="0.2">
      <c r="A65" s="9" t="s">
        <v>10</v>
      </c>
      <c r="B65" s="5" t="str">
        <f>T("ACTISORB SILVER 220 ANTIMICROBIAL BINDING DRESSING")</f>
        <v>ACTISORB SILVER 220 ANTIMICROBIAL BINDING DRESSING</v>
      </c>
      <c r="C65" s="5" t="str">
        <f>T("ETHICON INC (A JOHNSON &amp; JOHNSON COMPANY)")</f>
        <v>ETHICON INC (A JOHNSON &amp; JOHNSON COMPANY)</v>
      </c>
      <c r="D65" s="5" t="str">
        <f>T("650220")</f>
        <v>650220</v>
      </c>
      <c r="E65" s="5" t="str">
        <f>T("A6206")</f>
        <v>A6206</v>
      </c>
      <c r="F65" s="5" t="str">
        <f>T("12/08/2003")</f>
        <v>12/08/2003</v>
      </c>
      <c r="G65" s="5" t="str">
        <f>T("12/27/2017")</f>
        <v>12/27/2017</v>
      </c>
      <c r="H65" s="5"/>
    </row>
    <row r="66" spans="1:8" ht="13.5" customHeight="1" x14ac:dyDescent="0.2">
      <c r="A66" s="9" t="s">
        <v>10</v>
      </c>
      <c r="B66" s="5" t="str">
        <f>T("ACTISORB SILVER 220 ANTIMICROBIAL BINDING DRESSING")</f>
        <v>ACTISORB SILVER 220 ANTIMICROBIAL BINDING DRESSING</v>
      </c>
      <c r="C66" s="5" t="str">
        <f>T("ETHICON INC (A JOHNSON &amp; JOHNSON COMPANY)")</f>
        <v>ETHICON INC (A JOHNSON &amp; JOHNSON COMPANY)</v>
      </c>
      <c r="D66" s="5" t="str">
        <f>T("190220")</f>
        <v>190220</v>
      </c>
      <c r="E66" s="5" t="str">
        <f>T("A6206 OR A6207")</f>
        <v>A6206 OR A6207</v>
      </c>
      <c r="F66" s="5" t="str">
        <f>T("12/08/2003")</f>
        <v>12/08/2003</v>
      </c>
      <c r="G66" s="5" t="str">
        <f>T("12/27/2017")</f>
        <v>12/27/2017</v>
      </c>
      <c r="H66" s="5"/>
    </row>
    <row r="67" spans="1:8" ht="13.5" customHeight="1" x14ac:dyDescent="0.2">
      <c r="A67" s="9" t="s">
        <v>10</v>
      </c>
      <c r="B67" s="5" t="str">
        <f>T("ACTISORB SILVER 220 ANTIMICROBIAL BINDING DRESSING")</f>
        <v>ACTISORB SILVER 220 ANTIMICROBIAL BINDING DRESSING</v>
      </c>
      <c r="C67" s="5" t="str">
        <f>T("ETHICON INC (A JOHNSON &amp; JOHNSON COMPANY)")</f>
        <v>ETHICON INC (A JOHNSON &amp; JOHNSON COMPANY)</v>
      </c>
      <c r="D67" s="5" t="str">
        <f>T("105220")</f>
        <v>105220</v>
      </c>
      <c r="E67" s="5" t="str">
        <f>T("A6206 OR A6207")</f>
        <v>A6206 OR A6207</v>
      </c>
      <c r="F67" s="5" t="str">
        <f>T("12/08/2003")</f>
        <v>12/08/2003</v>
      </c>
      <c r="G67" s="5" t="str">
        <f>T("12/27/2017")</f>
        <v>12/27/2017</v>
      </c>
      <c r="H67" s="5"/>
    </row>
    <row r="68" spans="1:8" ht="13.5" customHeight="1" x14ac:dyDescent="0.2">
      <c r="A68" s="9" t="s">
        <v>9</v>
      </c>
      <c r="B68" s="10" t="str">
        <f>T("MEDVANCE FOAM")</f>
        <v>MEDVANCE FOAM</v>
      </c>
      <c r="C68" s="10" t="str">
        <f>T("MED WAY INC")</f>
        <v>MED WAY INC</v>
      </c>
      <c r="D68" s="10" t="str">
        <f>T("V1000202")</f>
        <v>V1000202</v>
      </c>
      <c r="E68" s="10" t="str">
        <f>T("A6209")</f>
        <v>A6209</v>
      </c>
      <c r="F68" s="10" t="str">
        <f>T("12/04/2017")</f>
        <v>12/04/2017</v>
      </c>
      <c r="G68" s="10" t="str">
        <f t="shared" ref="G68:H77" si="16">T("")</f>
        <v/>
      </c>
      <c r="H68" s="10" t="str">
        <f t="shared" si="16"/>
        <v/>
      </c>
    </row>
    <row r="69" spans="1:8" ht="13.5" customHeight="1" x14ac:dyDescent="0.2">
      <c r="A69" s="9" t="s">
        <v>9</v>
      </c>
      <c r="B69" s="10" t="str">
        <f>T("MEDVANCE SILICONE FOAM")</f>
        <v>MEDVANCE SILICONE FOAM</v>
      </c>
      <c r="C69" s="10" t="str">
        <f>T("MED WAY INC")</f>
        <v>MED WAY INC</v>
      </c>
      <c r="D69" s="10" t="str">
        <f>T("V3000202")</f>
        <v>V3000202</v>
      </c>
      <c r="E69" s="10" t="str">
        <f>T("A6209")</f>
        <v>A6209</v>
      </c>
      <c r="F69" s="10" t="str">
        <f>T("12/04/2017")</f>
        <v>12/04/2017</v>
      </c>
      <c r="G69" s="10" t="str">
        <f t="shared" si="16"/>
        <v/>
      </c>
      <c r="H69" s="10" t="str">
        <f t="shared" si="16"/>
        <v/>
      </c>
    </row>
    <row r="70" spans="1:8" ht="13.5" customHeight="1" x14ac:dyDescent="0.2">
      <c r="A70" s="9" t="s">
        <v>9</v>
      </c>
      <c r="B70" s="10" t="str">
        <f>T("TIELLE PLUS HEEL HYDROPOLYMER ADHESIVE DRESSING 7 7/8"" X 10 1/2""")</f>
        <v>TIELLE PLUS HEEL HYDROPOLYMER ADHESIVE DRESSING 7 7/8" X 10 1/2"</v>
      </c>
      <c r="C70" s="10" t="str">
        <f>T("KINETIC CONCEPTS INC")</f>
        <v>KINETIC CONCEPTS INC</v>
      </c>
      <c r="D70" s="10" t="str">
        <f>T("MTP508")</f>
        <v>MTP508</v>
      </c>
      <c r="E70" s="10" t="str">
        <f>T("A6210")</f>
        <v>A6210</v>
      </c>
      <c r="F70" s="10" t="str">
        <f>T("12/28/2017")</f>
        <v>12/28/2017</v>
      </c>
      <c r="G70" s="10" t="str">
        <f t="shared" si="16"/>
        <v/>
      </c>
      <c r="H70" s="10" t="str">
        <f t="shared" si="16"/>
        <v/>
      </c>
    </row>
    <row r="71" spans="1:8" ht="13.5" customHeight="1" x14ac:dyDescent="0.2">
      <c r="A71" s="9" t="s">
        <v>9</v>
      </c>
      <c r="B71" s="10" t="str">
        <f>T("MEDVANCE SILICONE FOAM")</f>
        <v>MEDVANCE SILICONE FOAM</v>
      </c>
      <c r="C71" s="10" t="str">
        <f>T("MED WAY INC")</f>
        <v>MED WAY INC</v>
      </c>
      <c r="D71" s="10" t="str">
        <f>T("V3000808")</f>
        <v>V3000808</v>
      </c>
      <c r="E71" s="10" t="str">
        <f>T("A6211")</f>
        <v>A6211</v>
      </c>
      <c r="F71" s="10" t="str">
        <f>T("12/01/2017")</f>
        <v>12/01/2017</v>
      </c>
      <c r="G71" s="10" t="str">
        <f t="shared" si="16"/>
        <v/>
      </c>
      <c r="H71" s="10" t="str">
        <f t="shared" si="16"/>
        <v/>
      </c>
    </row>
    <row r="72" spans="1:8" ht="13.5" customHeight="1" x14ac:dyDescent="0.2">
      <c r="A72" s="9" t="s">
        <v>9</v>
      </c>
      <c r="B72" s="10" t="str">
        <f>T("TIELLE PLUS HYDROPOLYMER ADHESIVE DRESSING 4 1/4"" X 4 1/4""")</f>
        <v>TIELLE PLUS HYDROPOLYMER ADHESIVE DRESSING 4 1/4" X 4 1/4"</v>
      </c>
      <c r="C72" s="10" t="str">
        <f t="shared" ref="C72:C77" si="17">T("KINETIC CONCEPTS INC")</f>
        <v>KINETIC CONCEPTS INC</v>
      </c>
      <c r="D72" s="10" t="str">
        <f>T("MTP501")</f>
        <v>MTP501</v>
      </c>
      <c r="E72" s="10" t="str">
        <f t="shared" ref="E72:E79" si="18">T("A6212")</f>
        <v>A6212</v>
      </c>
      <c r="F72" s="10" t="str">
        <f>T("12/12/2017")</f>
        <v>12/12/2017</v>
      </c>
      <c r="G72" s="10" t="str">
        <f t="shared" si="16"/>
        <v/>
      </c>
      <c r="H72" s="10" t="str">
        <f t="shared" si="16"/>
        <v/>
      </c>
    </row>
    <row r="73" spans="1:8" ht="13.5" customHeight="1" x14ac:dyDescent="0.2">
      <c r="A73" s="9" t="s">
        <v>9</v>
      </c>
      <c r="B73" s="10" t="str">
        <f>T("TIELLE LITE HYDROPOLYMER ADHESIVE DRESSING 2 3/4"" X 3 1/2""")</f>
        <v>TIELLE LITE HYDROPOLYMER ADHESIVE DRESSING 2 3/4" X 3 1/2"</v>
      </c>
      <c r="C73" s="10" t="str">
        <f t="shared" si="17"/>
        <v>KINETIC CONCEPTS INC</v>
      </c>
      <c r="D73" s="10" t="str">
        <f>T("MTL300EN")</f>
        <v>MTL300EN</v>
      </c>
      <c r="E73" s="10" t="str">
        <f t="shared" si="18"/>
        <v>A6212</v>
      </c>
      <c r="F73" s="10" t="str">
        <f>T("12/12/2017")</f>
        <v>12/12/2017</v>
      </c>
      <c r="G73" s="10" t="str">
        <f t="shared" si="16"/>
        <v/>
      </c>
      <c r="H73" s="10" t="str">
        <f t="shared" si="16"/>
        <v/>
      </c>
    </row>
    <row r="74" spans="1:8" ht="13.5" customHeight="1" x14ac:dyDescent="0.2">
      <c r="A74" s="9" t="s">
        <v>9</v>
      </c>
      <c r="B74" s="10" t="str">
        <f>T("TIELLE LITE HYDROPOLYMER ADHESIVE DRESSING 4 1/4"" X 4 1/4""")</f>
        <v>TIELLE LITE HYDROPOLYMER ADHESIVE DRESSING 4 1/4" X 4 1/4"</v>
      </c>
      <c r="C74" s="10" t="str">
        <f t="shared" si="17"/>
        <v>KINETIC CONCEPTS INC</v>
      </c>
      <c r="D74" s="10" t="str">
        <f>T("MTL301EN")</f>
        <v>MTL301EN</v>
      </c>
      <c r="E74" s="10" t="str">
        <f t="shared" si="18"/>
        <v>A6212</v>
      </c>
      <c r="F74" s="10" t="str">
        <f>T("12/12/2017")</f>
        <v>12/12/2017</v>
      </c>
      <c r="G74" s="10" t="str">
        <f t="shared" si="16"/>
        <v/>
      </c>
      <c r="H74" s="10" t="str">
        <f t="shared" si="16"/>
        <v/>
      </c>
    </row>
    <row r="75" spans="1:8" ht="13.5" customHeight="1" x14ac:dyDescent="0.2">
      <c r="A75" s="9" t="s">
        <v>9</v>
      </c>
      <c r="B75" s="10" t="str">
        <f>T("TIELLE LITE HYDROPOLYMER ADHESIVE DRESSING 3 1/8"" X 5 7/8""")</f>
        <v>TIELLE LITE HYDROPOLYMER ADHESIVE DRESSING 3 1/8" X 5 7/8"</v>
      </c>
      <c r="C75" s="10" t="str">
        <f t="shared" si="17"/>
        <v>KINETIC CONCEPTS INC</v>
      </c>
      <c r="D75" s="10" t="str">
        <f>T("MTL308")</f>
        <v>MTL308</v>
      </c>
      <c r="E75" s="10" t="str">
        <f t="shared" si="18"/>
        <v>A6212</v>
      </c>
      <c r="F75" s="10" t="str">
        <f>T("12/12/2017")</f>
        <v>12/12/2017</v>
      </c>
      <c r="G75" s="10" t="str">
        <f t="shared" si="16"/>
        <v/>
      </c>
      <c r="H75" s="10" t="str">
        <f t="shared" si="16"/>
        <v/>
      </c>
    </row>
    <row r="76" spans="1:8" ht="13.5" customHeight="1" x14ac:dyDescent="0.2">
      <c r="A76" s="9" t="s">
        <v>9</v>
      </c>
      <c r="B76" s="10" t="str">
        <f>T("TIELLE LITE HYDROPOLYMER ADHESIVE DRESSING 3 1/8"" X 7 7/8""")</f>
        <v>TIELLE LITE HYDROPOLYMER ADHESIVE DRESSING 3 1/8" X 7 7/8"</v>
      </c>
      <c r="C76" s="10" t="str">
        <f t="shared" si="17"/>
        <v>KINETIC CONCEPTS INC</v>
      </c>
      <c r="D76" s="10" t="str">
        <f>T("MTL309")</f>
        <v>MTL309</v>
      </c>
      <c r="E76" s="10" t="str">
        <f t="shared" si="18"/>
        <v>A6212</v>
      </c>
      <c r="F76" s="10" t="str">
        <f>T("12/12/2017")</f>
        <v>12/12/2017</v>
      </c>
      <c r="G76" s="10" t="str">
        <f t="shared" si="16"/>
        <v/>
      </c>
      <c r="H76" s="10" t="str">
        <f t="shared" si="16"/>
        <v/>
      </c>
    </row>
    <row r="77" spans="1:8" ht="13.5" customHeight="1" x14ac:dyDescent="0.2">
      <c r="A77" s="9" t="s">
        <v>9</v>
      </c>
      <c r="B77" s="10" t="str">
        <f>T("TIELLE PLUS SACRUM HYDROPOLYMER ADHESIVE DRESSING 5 7/8"" X 5 7/8""")</f>
        <v>TIELLE PLUS SACRUM HYDROPOLYMER ADHESIVE DRESSING 5 7/8" X 5 7/8"</v>
      </c>
      <c r="C77" s="10" t="str">
        <f t="shared" si="17"/>
        <v>KINETIC CONCEPTS INC</v>
      </c>
      <c r="D77" s="10" t="str">
        <f>T("MTP506")</f>
        <v>MTP506</v>
      </c>
      <c r="E77" s="10" t="str">
        <f t="shared" si="18"/>
        <v>A6212</v>
      </c>
      <c r="F77" s="10" t="str">
        <f>T("12/28/2017")</f>
        <v>12/28/2017</v>
      </c>
      <c r="G77" s="10" t="str">
        <f t="shared" si="16"/>
        <v/>
      </c>
      <c r="H77" s="10" t="str">
        <f t="shared" si="16"/>
        <v/>
      </c>
    </row>
    <row r="78" spans="1:8" ht="13.5" customHeight="1" x14ac:dyDescent="0.2">
      <c r="A78" s="9" t="s">
        <v>10</v>
      </c>
      <c r="B78" s="5" t="str">
        <f>T("TIELLE")</f>
        <v>TIELLE</v>
      </c>
      <c r="C78" s="5" t="str">
        <f>T("JOHNSON &amp; JOHNSON (A DIVISION OF ETHICON INC)")</f>
        <v>JOHNSON &amp; JOHNSON (A DIVISION OF ETHICON INC)</v>
      </c>
      <c r="D78" s="5" t="str">
        <f>T("")</f>
        <v/>
      </c>
      <c r="E78" s="5" t="str">
        <f t="shared" si="18"/>
        <v>A6212</v>
      </c>
      <c r="F78" s="5" t="str">
        <f>T("09/18/1996")</f>
        <v>09/18/1996</v>
      </c>
      <c r="G78" s="5" t="str">
        <f>T("12/11/2017")</f>
        <v>12/11/2017</v>
      </c>
      <c r="H78" s="5" t="str">
        <f>T("")</f>
        <v/>
      </c>
    </row>
    <row r="79" spans="1:8" ht="13.5" customHeight="1" x14ac:dyDescent="0.2">
      <c r="A79" s="9" t="s">
        <v>10</v>
      </c>
      <c r="B79" s="5" t="str">
        <f>T("TIELLE PLUS")</f>
        <v>TIELLE PLUS</v>
      </c>
      <c r="C79" s="5" t="str">
        <f>T("JOHNSON &amp; JOHNSON (A DIVISION OF ETHICON INC)")</f>
        <v>JOHNSON &amp; JOHNSON (A DIVISION OF ETHICON INC)</v>
      </c>
      <c r="D79" s="5" t="str">
        <f>T("")</f>
        <v/>
      </c>
      <c r="E79" s="5" t="str">
        <f t="shared" si="18"/>
        <v>A6212</v>
      </c>
      <c r="F79" s="5" t="str">
        <f>T("04/04/2002")</f>
        <v>04/04/2002</v>
      </c>
      <c r="G79" s="5" t="str">
        <f>T("12/27/2017")</f>
        <v>12/27/2017</v>
      </c>
      <c r="H79" s="5"/>
    </row>
    <row r="80" spans="1:8" ht="13.5" customHeight="1" x14ac:dyDescent="0.2">
      <c r="A80" s="9" t="s">
        <v>9</v>
      </c>
      <c r="B80" s="10" t="str">
        <f>T("TIELLE LITE HYDROPOLYMER ADHESIVE DRESSING 4"" X 11 3/4""")</f>
        <v>TIELLE LITE HYDROPOLYMER ADHESIVE DRESSING 4" X 11 3/4"</v>
      </c>
      <c r="C80" s="10" t="str">
        <f>T("KINETIC CONCEPTS INC")</f>
        <v>KINETIC CONCEPTS INC</v>
      </c>
      <c r="D80" s="10" t="str">
        <f>T("MTL310")</f>
        <v>MTL310</v>
      </c>
      <c r="E80" s="10" t="str">
        <f>T("A6213")</f>
        <v>A6213</v>
      </c>
      <c r="F80" s="10" t="str">
        <f>T("12/12/2017")</f>
        <v>12/12/2017</v>
      </c>
      <c r="G80" s="10" t="str">
        <f t="shared" ref="G80:H84" si="19">T("")</f>
        <v/>
      </c>
      <c r="H80" s="10" t="str">
        <f t="shared" si="19"/>
        <v/>
      </c>
    </row>
    <row r="81" spans="1:8" ht="13.5" customHeight="1" x14ac:dyDescent="0.2">
      <c r="A81" s="9" t="s">
        <v>9</v>
      </c>
      <c r="B81" s="10" t="str">
        <f>T("TIELLE PLUS HYDROPOLYMER ADHESIVE DRESSING 5 7/8"" X 7 3/4""")</f>
        <v>TIELLE PLUS HYDROPOLYMER ADHESIVE DRESSING 5 7/8" X 7 3/4"</v>
      </c>
      <c r="C81" s="10" t="str">
        <f>T("KINETIC CONCEPTS INC")</f>
        <v>KINETIC CONCEPTS INC</v>
      </c>
      <c r="D81" s="10" t="str">
        <f>T("MTP502")</f>
        <v>MTP502</v>
      </c>
      <c r="E81" s="10" t="str">
        <f>T("A6213")</f>
        <v>A6213</v>
      </c>
      <c r="F81" s="10" t="str">
        <f>T("12/28/2017")</f>
        <v>12/28/2017</v>
      </c>
      <c r="G81" s="10" t="str">
        <f t="shared" si="19"/>
        <v/>
      </c>
      <c r="H81" s="10" t="str">
        <f t="shared" si="19"/>
        <v/>
      </c>
    </row>
    <row r="82" spans="1:8" ht="13.5" customHeight="1" x14ac:dyDescent="0.2">
      <c r="A82" s="9" t="s">
        <v>9</v>
      </c>
      <c r="B82" s="10" t="str">
        <f>T("TIELLE PLUS HYDROPOLYMER ADHESIVE DRESSING 5 7/8"" X 5 7/8""")</f>
        <v>TIELLE PLUS HYDROPOLYMER ADHESIVE DRESSING 5 7/8" X 5 7/8"</v>
      </c>
      <c r="C82" s="10" t="str">
        <f>T("KINETIC CONCEPTS INC")</f>
        <v>KINETIC CONCEPTS INC</v>
      </c>
      <c r="D82" s="10" t="str">
        <f>T("MTP505")</f>
        <v>MTP505</v>
      </c>
      <c r="E82" s="10" t="str">
        <f>T("A6213")</f>
        <v>A6213</v>
      </c>
      <c r="F82" s="10" t="str">
        <f>T("12/28/2017")</f>
        <v>12/28/2017</v>
      </c>
      <c r="G82" s="10" t="str">
        <f t="shared" si="19"/>
        <v/>
      </c>
      <c r="H82" s="10" t="str">
        <f t="shared" si="19"/>
        <v/>
      </c>
    </row>
    <row r="83" spans="1:8" ht="13.5" customHeight="1" x14ac:dyDescent="0.2">
      <c r="A83" s="9" t="s">
        <v>9</v>
      </c>
      <c r="B83" s="10" t="str">
        <f>T("TIELLE PACKING 3 3/4"" X 3 3/4""")</f>
        <v>TIELLE PACKING 3 3/4" X 3 3/4"</v>
      </c>
      <c r="C83" s="10" t="str">
        <f>T("KINETIC CONCEPTS INC")</f>
        <v>KINETIC CONCEPTS INC</v>
      </c>
      <c r="D83" s="10" t="str">
        <f>T("MT2450")</f>
        <v>MT2450</v>
      </c>
      <c r="E83" s="10" t="str">
        <f>T("A6215")</f>
        <v>A6215</v>
      </c>
      <c r="F83" s="10" t="str">
        <f>T("12/11/2017")</f>
        <v>12/11/2017</v>
      </c>
      <c r="G83" s="10" t="str">
        <f t="shared" si="19"/>
        <v/>
      </c>
      <c r="H83" s="10" t="str">
        <f t="shared" si="19"/>
        <v/>
      </c>
    </row>
    <row r="84" spans="1:8" ht="13.5" customHeight="1" x14ac:dyDescent="0.2">
      <c r="A84" s="9" t="s">
        <v>9</v>
      </c>
      <c r="B84" s="10" t="str">
        <f>T("ADAPTIC NON-ADHERING DRESSING 3"" X 3""")</f>
        <v>ADAPTIC NON-ADHERING DRESSING 3" X 3"</v>
      </c>
      <c r="C84" s="10" t="str">
        <f>T("KINETIC CONCEPTS INC")</f>
        <v>KINETIC CONCEPTS INC</v>
      </c>
      <c r="D84" s="10" t="str">
        <f>T("2012")</f>
        <v>2012</v>
      </c>
      <c r="E84" s="10" t="str">
        <f>T("A6222")</f>
        <v>A6222</v>
      </c>
      <c r="F84" s="10" t="str">
        <f>T("12/12/2017")</f>
        <v>12/12/2017</v>
      </c>
      <c r="G84" s="10" t="str">
        <f t="shared" si="19"/>
        <v/>
      </c>
      <c r="H84" s="10" t="str">
        <f t="shared" si="19"/>
        <v/>
      </c>
    </row>
    <row r="85" spans="1:8" ht="13.5" customHeight="1" x14ac:dyDescent="0.2">
      <c r="A85" s="9" t="s">
        <v>10</v>
      </c>
      <c r="B85" s="6" t="s">
        <v>18</v>
      </c>
      <c r="C85" s="6" t="s">
        <v>14</v>
      </c>
      <c r="D85" s="6"/>
      <c r="E85" s="6" t="s">
        <v>19</v>
      </c>
      <c r="F85" s="7">
        <v>36525</v>
      </c>
      <c r="G85" s="7">
        <v>43073</v>
      </c>
      <c r="H85" s="6"/>
    </row>
    <row r="86" spans="1:8" ht="13.5" customHeight="1" x14ac:dyDescent="0.2">
      <c r="A86" s="9" t="s">
        <v>10</v>
      </c>
      <c r="B86" s="6" t="s">
        <v>20</v>
      </c>
      <c r="C86" s="6" t="s">
        <v>14</v>
      </c>
      <c r="D86" s="6"/>
      <c r="E86" s="6" t="s">
        <v>19</v>
      </c>
      <c r="F86" s="7">
        <v>36746</v>
      </c>
      <c r="G86" s="7">
        <v>43073</v>
      </c>
      <c r="H86" s="6"/>
    </row>
    <row r="87" spans="1:8" ht="13.5" customHeight="1" x14ac:dyDescent="0.2">
      <c r="A87" s="9" t="s">
        <v>10</v>
      </c>
      <c r="B87" s="6" t="s">
        <v>21</v>
      </c>
      <c r="C87" s="6" t="s">
        <v>14</v>
      </c>
      <c r="D87" s="6"/>
      <c r="E87" s="6" t="s">
        <v>19</v>
      </c>
      <c r="F87" s="7">
        <v>36746</v>
      </c>
      <c r="G87" s="7">
        <v>43073</v>
      </c>
      <c r="H87" s="6"/>
    </row>
    <row r="88" spans="1:8" ht="13.5" customHeight="1" x14ac:dyDescent="0.2">
      <c r="A88" s="9" t="s">
        <v>9</v>
      </c>
      <c r="B88" s="10" t="str">
        <f>T("ADAPTIC NON-ADHERING DRESSING 3"" X 8""")</f>
        <v>ADAPTIC NON-ADHERING DRESSING 3" X 8"</v>
      </c>
      <c r="C88" s="10" t="str">
        <f>T("KINETIC CONCEPTS INC")</f>
        <v>KINETIC CONCEPTS INC</v>
      </c>
      <c r="D88" s="10" t="str">
        <f>T("2013")</f>
        <v>2013</v>
      </c>
      <c r="E88" s="10" t="str">
        <f>T("A6223")</f>
        <v>A6223</v>
      </c>
      <c r="F88" s="10" t="str">
        <f>T("12/05/2017")</f>
        <v>12/05/2017</v>
      </c>
      <c r="G88" s="10" t="str">
        <f t="shared" ref="G88:H94" si="20">T("")</f>
        <v/>
      </c>
      <c r="H88" s="10" t="str">
        <f t="shared" si="20"/>
        <v/>
      </c>
    </row>
    <row r="89" spans="1:8" ht="13.5" customHeight="1" x14ac:dyDescent="0.2">
      <c r="A89" s="9" t="s">
        <v>9</v>
      </c>
      <c r="B89" s="10" t="str">
        <f>T("ADAPTIC NON-ADHERING DRESSING 3"" X 16""")</f>
        <v>ADAPTIC NON-ADHERING DRESSING 3" X 16"</v>
      </c>
      <c r="C89" s="10" t="str">
        <f>T("KINETIC CONCEPTS INC")</f>
        <v>KINETIC CONCEPTS INC</v>
      </c>
      <c r="D89" s="10" t="str">
        <f>T("2014")</f>
        <v>2014</v>
      </c>
      <c r="E89" s="10" t="str">
        <f>T("A6223")</f>
        <v>A6223</v>
      </c>
      <c r="F89" s="10" t="str">
        <f>T("12/05/2017")</f>
        <v>12/05/2017</v>
      </c>
      <c r="G89" s="10" t="str">
        <f t="shared" si="20"/>
        <v/>
      </c>
      <c r="H89" s="10" t="str">
        <f t="shared" si="20"/>
        <v/>
      </c>
    </row>
    <row r="90" spans="1:8" ht="13.5" customHeight="1" x14ac:dyDescent="0.2">
      <c r="A90" s="9" t="s">
        <v>9</v>
      </c>
      <c r="B90" s="10" t="str">
        <f>T("ADAPTIC NON-ADHERING DRESSING 3"" X 8""")</f>
        <v>ADAPTIC NON-ADHERING DRESSING 3" X 8"</v>
      </c>
      <c r="C90" s="10" t="str">
        <f>T("KINETIC CONCEPTS INC")</f>
        <v>KINETIC CONCEPTS INC</v>
      </c>
      <c r="D90" s="10" t="str">
        <f>T("2015")</f>
        <v>2015</v>
      </c>
      <c r="E90" s="10" t="str">
        <f>T("A6223")</f>
        <v>A6223</v>
      </c>
      <c r="F90" s="10" t="str">
        <f>T("12/05/2017")</f>
        <v>12/05/2017</v>
      </c>
      <c r="G90" s="10" t="str">
        <f t="shared" si="20"/>
        <v/>
      </c>
      <c r="H90" s="10" t="str">
        <f t="shared" si="20"/>
        <v/>
      </c>
    </row>
    <row r="91" spans="1:8" ht="13.5" customHeight="1" x14ac:dyDescent="0.2">
      <c r="A91" s="9" t="s">
        <v>9</v>
      </c>
      <c r="B91" s="10" t="str">
        <f>T("ADAPTIC NON-ADHERING DRESSING 5"" X 9""")</f>
        <v>ADAPTIC NON-ADHERING DRESSING 5" X 9"</v>
      </c>
      <c r="C91" s="10" t="str">
        <f>T("KINETIC CONCEPTS INC")</f>
        <v>KINETIC CONCEPTS INC</v>
      </c>
      <c r="D91" s="10" t="str">
        <f>T("2019")</f>
        <v>2019</v>
      </c>
      <c r="E91" s="10" t="str">
        <f>T("A6223")</f>
        <v>A6223</v>
      </c>
      <c r="F91" s="10" t="str">
        <f>T("12/04/2017")</f>
        <v>12/04/2017</v>
      </c>
      <c r="G91" s="10" t="str">
        <f t="shared" si="20"/>
        <v/>
      </c>
      <c r="H91" s="10" t="str">
        <f t="shared" si="20"/>
        <v/>
      </c>
    </row>
    <row r="92" spans="1:8" ht="13.5" customHeight="1" x14ac:dyDescent="0.2">
      <c r="A92" s="9" t="s">
        <v>9</v>
      </c>
      <c r="B92" s="10" t="str">
        <f>T("MEDVANCE HYDROCOLLOID WITH FOAM CUSHION")</f>
        <v>MEDVANCE HYDROCOLLOID WITH FOAM CUSHION</v>
      </c>
      <c r="C92" s="10" t="str">
        <f>T("MED WAY INC")</f>
        <v>MED WAY INC</v>
      </c>
      <c r="D92" s="10" t="str">
        <f>T("V2500404")</f>
        <v>V2500404</v>
      </c>
      <c r="E92" s="10" t="str">
        <f>T("A6234")</f>
        <v>A6234</v>
      </c>
      <c r="F92" s="10" t="str">
        <f>T("12/11/2017")</f>
        <v>12/11/2017</v>
      </c>
      <c r="G92" s="10" t="str">
        <f t="shared" si="20"/>
        <v/>
      </c>
      <c r="H92" s="10" t="str">
        <f t="shared" si="20"/>
        <v/>
      </c>
    </row>
    <row r="93" spans="1:8" ht="13.5" customHeight="1" x14ac:dyDescent="0.2">
      <c r="A93" s="9" t="s">
        <v>9</v>
      </c>
      <c r="B93" s="10" t="str">
        <f>T("MEDVANCE HYDROCOLLOID EXTRA THIN")</f>
        <v>MEDVANCE HYDROCOLLOID EXTRA THIN</v>
      </c>
      <c r="C93" s="10" t="str">
        <f>T("MED WAY INC")</f>
        <v>MED WAY INC</v>
      </c>
      <c r="D93" s="10" t="str">
        <f>T("V2400606")</f>
        <v>V2400606</v>
      </c>
      <c r="E93" s="10" t="str">
        <f>T("A6235")</f>
        <v>A6235</v>
      </c>
      <c r="F93" s="10" t="str">
        <f>T("12/04/2017")</f>
        <v>12/04/2017</v>
      </c>
      <c r="G93" s="10" t="str">
        <f t="shared" si="20"/>
        <v/>
      </c>
      <c r="H93" s="10" t="str">
        <f t="shared" si="20"/>
        <v/>
      </c>
    </row>
    <row r="94" spans="1:8" ht="13.5" customHeight="1" x14ac:dyDescent="0.2">
      <c r="A94" s="9" t="s">
        <v>9</v>
      </c>
      <c r="B94" s="10" t="str">
        <f>T("MEDVANCE HYDROCOLLOID WITH BORDER")</f>
        <v>MEDVANCE HYDROCOLLOID WITH BORDER</v>
      </c>
      <c r="C94" s="10" t="str">
        <f>T("MED WAY INC")</f>
        <v>MED WAY INC</v>
      </c>
      <c r="D94" s="10" t="str">
        <f>T("V2010606")</f>
        <v>V2010606</v>
      </c>
      <c r="E94" s="10" t="str">
        <f>T("A6238")</f>
        <v>A6238</v>
      </c>
      <c r="F94" s="10" t="str">
        <f>T("12/04/2017")</f>
        <v>12/04/2017</v>
      </c>
      <c r="G94" s="10" t="str">
        <f t="shared" si="20"/>
        <v/>
      </c>
      <c r="H94" s="10" t="str">
        <f t="shared" si="20"/>
        <v/>
      </c>
    </row>
    <row r="95" spans="1:8" ht="13.5" customHeight="1" x14ac:dyDescent="0.2">
      <c r="A95" s="9" t="s">
        <v>9</v>
      </c>
      <c r="B95" s="10" t="str">
        <f>T("MEDVANCE HYDROCOLLOID WITH BORDER")</f>
        <v>MEDVANCE HYDROCOLLOID WITH BORDER</v>
      </c>
      <c r="C95" s="10" t="str">
        <f>T("MED WAY INC")</f>
        <v>MED WAY INC</v>
      </c>
      <c r="D95" s="10" t="str">
        <f>T("V2110607")</f>
        <v>V2110607</v>
      </c>
      <c r="E95" s="10" t="str">
        <f>T("A6238")</f>
        <v>A6238</v>
      </c>
      <c r="F95" s="10" t="str">
        <f>T("12/04/2017")</f>
        <v>12/04/2017</v>
      </c>
      <c r="G95" s="10" t="str">
        <f t="shared" ref="G95:G103" si="21">T("")</f>
        <v/>
      </c>
      <c r="H95" s="10"/>
    </row>
    <row r="96" spans="1:8" ht="13.5" customHeight="1" x14ac:dyDescent="0.2">
      <c r="A96" s="9" t="s">
        <v>9</v>
      </c>
      <c r="B96" s="10" t="str">
        <f>T("SAFE N SIMPLE SIMPURITY HYDROGEL DRESSING 2 X 2 INCH")</f>
        <v>SAFE N SIMPLE SIMPURITY HYDROGEL DRESSING 2 X 2 INCH</v>
      </c>
      <c r="C96" s="10" t="str">
        <f>T("SAFE N SIMPLE LLC")</f>
        <v>SAFE N SIMPLE LLC</v>
      </c>
      <c r="D96" s="10" t="str">
        <f>T("SNS58302")</f>
        <v>SNS58302</v>
      </c>
      <c r="E96" s="10" t="str">
        <f>T("A6242")</f>
        <v>A6242</v>
      </c>
      <c r="F96" s="10" t="str">
        <f>T("12/28/2017")</f>
        <v>12/28/2017</v>
      </c>
      <c r="G96" s="10" t="str">
        <f t="shared" si="21"/>
        <v/>
      </c>
      <c r="H96" s="10" t="str">
        <f t="shared" ref="H96:H103" si="22">T("")</f>
        <v/>
      </c>
    </row>
    <row r="97" spans="1:8" ht="13.5" customHeight="1" x14ac:dyDescent="0.2">
      <c r="A97" s="9" t="s">
        <v>9</v>
      </c>
      <c r="B97" s="10" t="str">
        <f>T("BIATAIN SILICONE MULTISHAPE")</f>
        <v>BIATAIN SILICONE MULTISHAPE</v>
      </c>
      <c r="C97" s="10" t="str">
        <f>T("COLOPLAST CORP")</f>
        <v>COLOPLAST CORP</v>
      </c>
      <c r="D97" s="10" t="str">
        <f>T("33408")</f>
        <v>33408</v>
      </c>
      <c r="E97" s="10" t="str">
        <f>T("A6245")</f>
        <v>A6245</v>
      </c>
      <c r="F97" s="10" t="str">
        <f>T("12/01/2017")</f>
        <v>12/01/2017</v>
      </c>
      <c r="G97" s="10" t="str">
        <f t="shared" si="21"/>
        <v/>
      </c>
      <c r="H97" s="10" t="str">
        <f t="shared" si="22"/>
        <v/>
      </c>
    </row>
    <row r="98" spans="1:8" ht="13.5" customHeight="1" x14ac:dyDescent="0.2">
      <c r="A98" s="9" t="s">
        <v>9</v>
      </c>
      <c r="B98" s="10" t="str">
        <f>T("BIATAIN SILICONE - POST-OPERATIVE DRESSING")</f>
        <v>BIATAIN SILICONE - POST-OPERATIVE DRESSING</v>
      </c>
      <c r="C98" s="10" t="str">
        <f>T("COLOPLAST CORP")</f>
        <v>COLOPLAST CORP</v>
      </c>
      <c r="D98" s="10" t="str">
        <f>T("33400")</f>
        <v>33400</v>
      </c>
      <c r="E98" s="10" t="str">
        <f>T("A6245")</f>
        <v>A6245</v>
      </c>
      <c r="F98" s="10" t="str">
        <f>T("12/01/2017")</f>
        <v>12/01/2017</v>
      </c>
      <c r="G98" s="10" t="str">
        <f t="shared" si="21"/>
        <v/>
      </c>
      <c r="H98" s="10" t="str">
        <f t="shared" si="22"/>
        <v/>
      </c>
    </row>
    <row r="99" spans="1:8" ht="13.5" customHeight="1" x14ac:dyDescent="0.2">
      <c r="A99" s="9" t="s">
        <v>9</v>
      </c>
      <c r="B99" s="10" t="str">
        <f>T("BIATAIN SILICONE - HEEL")</f>
        <v>BIATAIN SILICONE - HEEL</v>
      </c>
      <c r="C99" s="10" t="str">
        <f>T("COLOPLAST CORP")</f>
        <v>COLOPLAST CORP</v>
      </c>
      <c r="D99" s="10" t="str">
        <f>T("33406")</f>
        <v>33406</v>
      </c>
      <c r="E99" s="10" t="str">
        <f>T("A6245")</f>
        <v>A6245</v>
      </c>
      <c r="F99" s="10" t="str">
        <f>T("12/01/2017")</f>
        <v>12/01/2017</v>
      </c>
      <c r="G99" s="10" t="str">
        <f t="shared" si="21"/>
        <v/>
      </c>
      <c r="H99" s="10" t="str">
        <f t="shared" si="22"/>
        <v/>
      </c>
    </row>
    <row r="100" spans="1:8" ht="13.5" customHeight="1" x14ac:dyDescent="0.2">
      <c r="A100" s="9" t="s">
        <v>9</v>
      </c>
      <c r="B100" s="10" t="str">
        <f>T("SIMPURITY HYDROGEL DRESSING 2 X 2 INCH WITH ADHESIVE BORDER")</f>
        <v>SIMPURITY HYDROGEL DRESSING 2 X 2 INCH WITH ADHESIVE BORDER</v>
      </c>
      <c r="C100" s="10" t="str">
        <f>T("SAFE N SIMPLE LLC")</f>
        <v>SAFE N SIMPLE LLC</v>
      </c>
      <c r="D100" s="10" t="str">
        <f>T("SNS58312")</f>
        <v>SNS58312</v>
      </c>
      <c r="E100" s="10" t="str">
        <f>T("A6245")</f>
        <v>A6245</v>
      </c>
      <c r="F100" s="10" t="str">
        <f>T("12/21/2017")</f>
        <v>12/21/2017</v>
      </c>
      <c r="G100" s="10" t="str">
        <f t="shared" si="21"/>
        <v/>
      </c>
      <c r="H100" s="10" t="str">
        <f t="shared" si="22"/>
        <v/>
      </c>
    </row>
    <row r="101" spans="1:8" ht="13.5" customHeight="1" x14ac:dyDescent="0.2">
      <c r="A101" s="9" t="s">
        <v>9</v>
      </c>
      <c r="B101" s="10" t="str">
        <f>T("BIATAIN SILICONE - POST-OPERATIVE DRESSING")</f>
        <v>BIATAIN SILICONE - POST-OPERATIVE DRESSING</v>
      </c>
      <c r="C101" s="10" t="str">
        <f>T("COLOPLAST CORP")</f>
        <v>COLOPLAST CORP</v>
      </c>
      <c r="D101" s="10" t="str">
        <f>T("33401")</f>
        <v>33401</v>
      </c>
      <c r="E101" s="10" t="str">
        <f>T("A6246")</f>
        <v>A6246</v>
      </c>
      <c r="F101" s="10" t="str">
        <f>T("12/01/2017")</f>
        <v>12/01/2017</v>
      </c>
      <c r="G101" s="10" t="str">
        <f t="shared" si="21"/>
        <v/>
      </c>
      <c r="H101" s="10" t="str">
        <f t="shared" si="22"/>
        <v/>
      </c>
    </row>
    <row r="102" spans="1:8" ht="13.5" customHeight="1" x14ac:dyDescent="0.2">
      <c r="A102" s="9" t="s">
        <v>9</v>
      </c>
      <c r="B102" s="10" t="str">
        <f>T("BIATAIN SILICONE - SACRAL")</f>
        <v>BIATAIN SILICONE - SACRAL</v>
      </c>
      <c r="C102" s="10" t="str">
        <f>T("COLOPLAST CORP")</f>
        <v>COLOPLAST CORP</v>
      </c>
      <c r="D102" s="10" t="str">
        <f>T("33404")</f>
        <v>33404</v>
      </c>
      <c r="E102" s="10" t="str">
        <f>T("A6246")</f>
        <v>A6246</v>
      </c>
      <c r="F102" s="10" t="str">
        <f>T("12/01/2017")</f>
        <v>12/01/2017</v>
      </c>
      <c r="G102" s="10" t="str">
        <f t="shared" si="21"/>
        <v/>
      </c>
      <c r="H102" s="10" t="str">
        <f t="shared" si="22"/>
        <v/>
      </c>
    </row>
    <row r="103" spans="1:8" ht="13.5" customHeight="1" x14ac:dyDescent="0.2">
      <c r="A103" s="9" t="s">
        <v>9</v>
      </c>
      <c r="B103" s="10" t="str">
        <f>T("BIATAIN SILICONE - SACRAL")</f>
        <v>BIATAIN SILICONE - SACRAL</v>
      </c>
      <c r="C103" s="10" t="str">
        <f>T("COLOPLAST CORP")</f>
        <v>COLOPLAST CORP</v>
      </c>
      <c r="D103" s="10" t="str">
        <f>T("33405")</f>
        <v>33405</v>
      </c>
      <c r="E103" s="10" t="str">
        <f>T("A6246")</f>
        <v>A6246</v>
      </c>
      <c r="F103" s="10" t="str">
        <f>T("12/01/2017")</f>
        <v>12/01/2017</v>
      </c>
      <c r="G103" s="10" t="str">
        <f t="shared" si="21"/>
        <v/>
      </c>
      <c r="H103" s="10" t="str">
        <f t="shared" si="22"/>
        <v/>
      </c>
    </row>
    <row r="104" spans="1:8" ht="13.5" customHeight="1" x14ac:dyDescent="0.2">
      <c r="A104" s="9" t="s">
        <v>10</v>
      </c>
      <c r="B104" s="5" t="str">
        <f>T("TIELLE PLUS SACRUM HYDROPOLYMER ADHESIVE DRESSING")</f>
        <v>TIELLE PLUS SACRUM HYDROPOLYMER ADHESIVE DRESSING</v>
      </c>
      <c r="C104" s="5" t="str">
        <f>T("ETHICON INC (A JOHNSON &amp; JOHNSON COMPANY)")</f>
        <v>ETHICON INC (A JOHNSON &amp; JOHNSON COMPANY)</v>
      </c>
      <c r="D104" s="5" t="str">
        <f>T("")</f>
        <v/>
      </c>
      <c r="E104" s="5" t="str">
        <f>T("A6254")</f>
        <v>A6254</v>
      </c>
      <c r="F104" s="5" t="str">
        <f>T("04/04/2002")</f>
        <v>04/04/2002</v>
      </c>
      <c r="G104" s="5" t="str">
        <f>T("12/27/2017")</f>
        <v>12/27/2017</v>
      </c>
      <c r="H104" s="5"/>
    </row>
    <row r="105" spans="1:8" ht="13.5" customHeight="1" x14ac:dyDescent="0.2">
      <c r="A105" s="9" t="s">
        <v>10</v>
      </c>
      <c r="B105" s="5" t="str">
        <f>T("IODOSORB")</f>
        <v>IODOSORB</v>
      </c>
      <c r="C105" s="5" t="str">
        <f>T("SMITH &amp; NEPHEW INC")</f>
        <v>SMITH &amp; NEPHEW INC</v>
      </c>
      <c r="D105" s="5" t="str">
        <f>T("6602125040")</f>
        <v>6602125040</v>
      </c>
      <c r="E105" s="5" t="str">
        <f>T("A6260")</f>
        <v>A6260</v>
      </c>
      <c r="F105" s="5" t="str">
        <f>T("09/07/2017")</f>
        <v>09/07/2017</v>
      </c>
      <c r="G105" s="5" t="str">
        <f>T("12/17/2017")</f>
        <v>12/17/2017</v>
      </c>
      <c r="H105" s="5"/>
    </row>
    <row r="106" spans="1:8" ht="13.5" customHeight="1" x14ac:dyDescent="0.2">
      <c r="A106" s="9" t="s">
        <v>10</v>
      </c>
      <c r="B106" s="5" t="str">
        <f>T("IODOSORB")</f>
        <v>IODOSORB</v>
      </c>
      <c r="C106" s="5" t="str">
        <f>T("SMITH &amp; NEPHEW INC")</f>
        <v>SMITH &amp; NEPHEW INC</v>
      </c>
      <c r="D106" s="5" t="str">
        <f>T("6602124014")</f>
        <v>6602124014</v>
      </c>
      <c r="E106" s="5" t="str">
        <f>T("A6260")</f>
        <v>A6260</v>
      </c>
      <c r="F106" s="5" t="str">
        <f>T("09/07/2017")</f>
        <v>09/07/2017</v>
      </c>
      <c r="G106" s="5" t="str">
        <f>T("12/17/2017")</f>
        <v>12/17/2017</v>
      </c>
      <c r="H106" s="5"/>
    </row>
    <row r="107" spans="1:8" ht="13.5" customHeight="1" x14ac:dyDescent="0.2">
      <c r="A107" s="9" t="s">
        <v>9</v>
      </c>
      <c r="B107" s="10" t="str">
        <f>T("IODOSORB")</f>
        <v>IODOSORB</v>
      </c>
      <c r="C107" s="10" t="str">
        <f>T("SMITH &amp; NEPHEW INC")</f>
        <v>SMITH &amp; NEPHEW INC</v>
      </c>
      <c r="D107" s="10" t="str">
        <f>T("6602125040")</f>
        <v>6602125040</v>
      </c>
      <c r="E107" s="10" t="str">
        <f>T("A6261")</f>
        <v>A6261</v>
      </c>
      <c r="F107" s="10" t="str">
        <f>T("12/18/2017")</f>
        <v>12/18/2017</v>
      </c>
      <c r="G107" s="10" t="str">
        <f t="shared" ref="G107:H109" si="23">T("")</f>
        <v/>
      </c>
      <c r="H107" s="10" t="str">
        <f t="shared" si="23"/>
        <v/>
      </c>
    </row>
    <row r="108" spans="1:8" ht="13.5" customHeight="1" x14ac:dyDescent="0.2">
      <c r="A108" s="9" t="s">
        <v>9</v>
      </c>
      <c r="B108" s="10" t="str">
        <f>T("IODOSORB")</f>
        <v>IODOSORB</v>
      </c>
      <c r="C108" s="10" t="str">
        <f>T("SMITH &amp; NEPHEW INC")</f>
        <v>SMITH &amp; NEPHEW INC</v>
      </c>
      <c r="D108" s="10" t="str">
        <f>T("6602124014")</f>
        <v>6602124014</v>
      </c>
      <c r="E108" s="10" t="str">
        <f>T("A6261")</f>
        <v>A6261</v>
      </c>
      <c r="F108" s="10" t="str">
        <f>T("12/18/2017")</f>
        <v>12/18/2017</v>
      </c>
      <c r="G108" s="10" t="str">
        <f t="shared" si="23"/>
        <v/>
      </c>
      <c r="H108" s="10" t="str">
        <f t="shared" si="23"/>
        <v/>
      </c>
    </row>
    <row r="109" spans="1:8" ht="13.5" customHeight="1" x14ac:dyDescent="0.2">
      <c r="A109" s="9" t="s">
        <v>9</v>
      </c>
      <c r="B109" s="10" t="str">
        <f>T("ADAPTIC NON-ADHERING DRESSING 3"" X 60"" ROLL")</f>
        <v>ADAPTIC NON-ADHERING DRESSING 3" X 60" ROLL</v>
      </c>
      <c r="C109" s="10" t="str">
        <f>T("KINETIC CONCEPTS INC")</f>
        <v>KINETIC CONCEPTS INC</v>
      </c>
      <c r="D109" s="10" t="str">
        <f>T("2018")</f>
        <v>2018</v>
      </c>
      <c r="E109" s="10" t="str">
        <f>T("A6266")</f>
        <v>A6266</v>
      </c>
      <c r="F109" s="10" t="str">
        <f>T("12/08/2017")</f>
        <v>12/08/2017</v>
      </c>
      <c r="G109" s="10" t="str">
        <f t="shared" si="23"/>
        <v/>
      </c>
      <c r="H109" s="10" t="str">
        <f t="shared" si="23"/>
        <v/>
      </c>
    </row>
    <row r="110" spans="1:8" ht="13.5" customHeight="1" x14ac:dyDescent="0.2">
      <c r="A110" s="9" t="s">
        <v>10</v>
      </c>
      <c r="B110" s="6" t="s">
        <v>22</v>
      </c>
      <c r="C110" s="6" t="s">
        <v>14</v>
      </c>
      <c r="D110" s="6"/>
      <c r="E110" s="6" t="s">
        <v>23</v>
      </c>
      <c r="F110" s="7">
        <v>36525</v>
      </c>
      <c r="G110" s="7">
        <v>43076</v>
      </c>
      <c r="H110" s="6"/>
    </row>
    <row r="111" spans="1:8" ht="13.5" customHeight="1" x14ac:dyDescent="0.2">
      <c r="A111" s="9" t="s">
        <v>9</v>
      </c>
      <c r="B111" s="10" t="str">
        <f>T("MEDVANCE SILICONE - BORDERED SILICONE FOAM DRESSING")</f>
        <v>MEDVANCE SILICONE - BORDERED SILICONE FOAM DRESSING</v>
      </c>
      <c r="C111" s="10" t="str">
        <f>T("MED WAY INC")</f>
        <v>MED WAY INC</v>
      </c>
      <c r="D111" s="10" t="str">
        <f>T("V3010205")</f>
        <v>V3010205</v>
      </c>
      <c r="E111" s="10" t="str">
        <f>T("A6413")</f>
        <v>A6413</v>
      </c>
      <c r="F111" s="10" t="str">
        <f>T("12/04/2017")</f>
        <v>12/04/2017</v>
      </c>
      <c r="G111" s="10" t="str">
        <f>T("")</f>
        <v/>
      </c>
      <c r="H111" s="10" t="str">
        <f>T("")</f>
        <v/>
      </c>
    </row>
    <row r="112" spans="1:8" ht="13.5" customHeight="1" x14ac:dyDescent="0.2">
      <c r="A112" s="9" t="s">
        <v>10</v>
      </c>
      <c r="B112" s="5" t="str">
        <f t="shared" ref="B112:B119" si="24">T("COMPREFLEX - LITE")</f>
        <v>COMPREFLEX - LITE</v>
      </c>
      <c r="C112" s="5" t="str">
        <f t="shared" ref="C112:C119" si="25">T("BIACARE CORP")</f>
        <v>BIACARE CORP</v>
      </c>
      <c r="D112" s="5" t="str">
        <f>T("1401-UC-BKR")</f>
        <v>1401-UC-BKR</v>
      </c>
      <c r="E112" s="5" t="str">
        <f t="shared" ref="E112:E119" si="26">T("A6545")</f>
        <v>A6545</v>
      </c>
      <c r="F112" s="7">
        <v>42081</v>
      </c>
      <c r="G112" s="7">
        <v>42610</v>
      </c>
      <c r="H112" s="5" t="str">
        <f t="shared" ref="H112:H119" si="27">T("MANUFACTURER DISCONTINUED PRODUCTION AS OF 08/28/16. BILLING ACCEPTABLE UNTIL EXPIRATION OF PRODUCT")</f>
        <v>MANUFACTURER DISCONTINUED PRODUCTION AS OF 08/28/16. BILLING ACCEPTABLE UNTIL EXPIRATION OF PRODUCT</v>
      </c>
    </row>
    <row r="113" spans="1:8" ht="13.5" customHeight="1" x14ac:dyDescent="0.2">
      <c r="A113" s="9" t="s">
        <v>10</v>
      </c>
      <c r="B113" s="5" t="str">
        <f t="shared" si="24"/>
        <v>COMPREFLEX - LITE</v>
      </c>
      <c r="C113" s="5" t="str">
        <f t="shared" si="25"/>
        <v>BIACARE CORP</v>
      </c>
      <c r="D113" s="5" t="str">
        <f>T("1405-UC-BKR")</f>
        <v>1405-UC-BKR</v>
      </c>
      <c r="E113" s="5" t="str">
        <f t="shared" si="26"/>
        <v>A6545</v>
      </c>
      <c r="F113" s="7">
        <v>42081</v>
      </c>
      <c r="G113" s="7">
        <v>42610</v>
      </c>
      <c r="H113" s="5" t="str">
        <f t="shared" si="27"/>
        <v>MANUFACTURER DISCONTINUED PRODUCTION AS OF 08/28/16. BILLING ACCEPTABLE UNTIL EXPIRATION OF PRODUCT</v>
      </c>
    </row>
    <row r="114" spans="1:8" ht="13.5" customHeight="1" x14ac:dyDescent="0.2">
      <c r="A114" s="9" t="s">
        <v>10</v>
      </c>
      <c r="B114" s="5" t="str">
        <f t="shared" si="24"/>
        <v>COMPREFLEX - LITE</v>
      </c>
      <c r="C114" s="5" t="str">
        <f t="shared" si="25"/>
        <v>BIACARE CORP</v>
      </c>
      <c r="D114" s="5" t="str">
        <f>T("1401-UC-BKT")</f>
        <v>1401-UC-BKT</v>
      </c>
      <c r="E114" s="5" t="str">
        <f t="shared" si="26"/>
        <v>A6545</v>
      </c>
      <c r="F114" s="7">
        <v>42081</v>
      </c>
      <c r="G114" s="7">
        <v>42610</v>
      </c>
      <c r="H114" s="5" t="str">
        <f t="shared" si="27"/>
        <v>MANUFACTURER DISCONTINUED PRODUCTION AS OF 08/28/16. BILLING ACCEPTABLE UNTIL EXPIRATION OF PRODUCT</v>
      </c>
    </row>
    <row r="115" spans="1:8" ht="13.5" customHeight="1" x14ac:dyDescent="0.2">
      <c r="A115" s="9" t="s">
        <v>10</v>
      </c>
      <c r="B115" s="5" t="str">
        <f t="shared" si="24"/>
        <v>COMPREFLEX - LITE</v>
      </c>
      <c r="C115" s="5" t="str">
        <f t="shared" si="25"/>
        <v>BIACARE CORP</v>
      </c>
      <c r="D115" s="5" t="str">
        <f>T("1404-UC-BKR")</f>
        <v>1404-UC-BKR</v>
      </c>
      <c r="E115" s="5" t="str">
        <f t="shared" si="26"/>
        <v>A6545</v>
      </c>
      <c r="F115" s="7">
        <v>42081</v>
      </c>
      <c r="G115" s="7">
        <v>42610</v>
      </c>
      <c r="H115" s="5" t="str">
        <f t="shared" si="27"/>
        <v>MANUFACTURER DISCONTINUED PRODUCTION AS OF 08/28/16. BILLING ACCEPTABLE UNTIL EXPIRATION OF PRODUCT</v>
      </c>
    </row>
    <row r="116" spans="1:8" ht="13.5" customHeight="1" x14ac:dyDescent="0.2">
      <c r="A116" s="9" t="s">
        <v>10</v>
      </c>
      <c r="B116" s="5" t="str">
        <f t="shared" si="24"/>
        <v>COMPREFLEX - LITE</v>
      </c>
      <c r="C116" s="5" t="str">
        <f t="shared" si="25"/>
        <v>BIACARE CORP</v>
      </c>
      <c r="D116" s="5" t="str">
        <f>T("1402-UC-BKT")</f>
        <v>1402-UC-BKT</v>
      </c>
      <c r="E116" s="5" t="str">
        <f t="shared" si="26"/>
        <v>A6545</v>
      </c>
      <c r="F116" s="7">
        <v>42081</v>
      </c>
      <c r="G116" s="7">
        <v>42610</v>
      </c>
      <c r="H116" s="5" t="str">
        <f t="shared" si="27"/>
        <v>MANUFACTURER DISCONTINUED PRODUCTION AS OF 08/28/16. BILLING ACCEPTABLE UNTIL EXPIRATION OF PRODUCT</v>
      </c>
    </row>
    <row r="117" spans="1:8" ht="13.5" customHeight="1" x14ac:dyDescent="0.2">
      <c r="A117" s="9" t="s">
        <v>10</v>
      </c>
      <c r="B117" s="5" t="str">
        <f t="shared" si="24"/>
        <v>COMPREFLEX - LITE</v>
      </c>
      <c r="C117" s="5" t="str">
        <f t="shared" si="25"/>
        <v>BIACARE CORP</v>
      </c>
      <c r="D117" s="5" t="str">
        <f>T("1405-UC-BKT")</f>
        <v>1405-UC-BKT</v>
      </c>
      <c r="E117" s="5" t="str">
        <f t="shared" si="26"/>
        <v>A6545</v>
      </c>
      <c r="F117" s="7">
        <v>42081</v>
      </c>
      <c r="G117" s="7">
        <v>42610</v>
      </c>
      <c r="H117" s="5" t="str">
        <f t="shared" si="27"/>
        <v>MANUFACTURER DISCONTINUED PRODUCTION AS OF 08/28/16. BILLING ACCEPTABLE UNTIL EXPIRATION OF PRODUCT</v>
      </c>
    </row>
    <row r="118" spans="1:8" ht="13.5" customHeight="1" x14ac:dyDescent="0.2">
      <c r="A118" s="9" t="s">
        <v>10</v>
      </c>
      <c r="B118" s="5" t="str">
        <f t="shared" si="24"/>
        <v>COMPREFLEX - LITE</v>
      </c>
      <c r="C118" s="5" t="str">
        <f t="shared" si="25"/>
        <v>BIACARE CORP</v>
      </c>
      <c r="D118" s="5" t="str">
        <f>T("1403-UC-BKT")</f>
        <v>1403-UC-BKT</v>
      </c>
      <c r="E118" s="5" t="str">
        <f t="shared" si="26"/>
        <v>A6545</v>
      </c>
      <c r="F118" s="7">
        <v>42081</v>
      </c>
      <c r="G118" s="7">
        <v>42610</v>
      </c>
      <c r="H118" s="5" t="str">
        <f t="shared" si="27"/>
        <v>MANUFACTURER DISCONTINUED PRODUCTION AS OF 08/28/16. BILLING ACCEPTABLE UNTIL EXPIRATION OF PRODUCT</v>
      </c>
    </row>
    <row r="119" spans="1:8" ht="13.5" customHeight="1" x14ac:dyDescent="0.2">
      <c r="A119" s="9" t="s">
        <v>10</v>
      </c>
      <c r="B119" s="5" t="str">
        <f t="shared" si="24"/>
        <v>COMPREFLEX - LITE</v>
      </c>
      <c r="C119" s="5" t="str">
        <f t="shared" si="25"/>
        <v>BIACARE CORP</v>
      </c>
      <c r="D119" s="5" t="str">
        <f>T("1404-UC-BKT")</f>
        <v>1404-UC-BKT</v>
      </c>
      <c r="E119" s="5" t="str">
        <f t="shared" si="26"/>
        <v>A6545</v>
      </c>
      <c r="F119" s="7">
        <v>42081</v>
      </c>
      <c r="G119" s="7">
        <v>42610</v>
      </c>
      <c r="H119" s="5" t="str">
        <f t="shared" si="27"/>
        <v>MANUFACTURER DISCONTINUED PRODUCTION AS OF 08/28/16. BILLING ACCEPTABLE UNTIL EXPIRATION OF PRODUCT</v>
      </c>
    </row>
    <row r="120" spans="1:8" ht="13.5" customHeight="1" x14ac:dyDescent="0.2">
      <c r="A120" s="9" t="s">
        <v>9</v>
      </c>
      <c r="B120" s="10" t="str">
        <f>T("DOMUS AUTO PUMP")</f>
        <v>DOMUS AUTO PUMP</v>
      </c>
      <c r="C120" s="10" t="str">
        <f>T("APEX MEDICAL CORP")</f>
        <v>APEX MEDICAL CORP</v>
      </c>
      <c r="D120" s="10" t="str">
        <f>T("PD03001")</f>
        <v>PD03001</v>
      </c>
      <c r="E120" s="10" t="str">
        <f t="shared" ref="E120:E159" si="28">T("A9270")</f>
        <v>A9270</v>
      </c>
      <c r="F120" s="10" t="str">
        <f t="shared" ref="F120:F135" si="29">T("12/18/2017")</f>
        <v>12/18/2017</v>
      </c>
      <c r="G120" s="10" t="str">
        <f t="shared" ref="G120:H139" si="30">T("")</f>
        <v/>
      </c>
      <c r="H120" s="10" t="str">
        <f t="shared" si="30"/>
        <v/>
      </c>
    </row>
    <row r="121" spans="1:8" ht="13.5" customHeight="1" x14ac:dyDescent="0.2">
      <c r="A121" s="9" t="s">
        <v>9</v>
      </c>
      <c r="B121" s="10" t="str">
        <f>T("DOMUS AUTO 8"" REPLACEMENT MATTRESS WITH QUILTED MATTRESS COVER")</f>
        <v>DOMUS AUTO 8" REPLACEMENT MATTRESS WITH QUILTED MATTRESS COVER</v>
      </c>
      <c r="C121" s="10" t="str">
        <f>T("APEX MEDICAL CORP")</f>
        <v>APEX MEDICAL CORP</v>
      </c>
      <c r="D121" s="10" t="str">
        <f>T("PM09401")</f>
        <v>PM09401</v>
      </c>
      <c r="E121" s="10" t="str">
        <f t="shared" si="28"/>
        <v>A9270</v>
      </c>
      <c r="F121" s="10" t="str">
        <f t="shared" si="29"/>
        <v>12/18/2017</v>
      </c>
      <c r="G121" s="10" t="str">
        <f t="shared" si="30"/>
        <v/>
      </c>
      <c r="H121" s="10" t="str">
        <f t="shared" si="30"/>
        <v/>
      </c>
    </row>
    <row r="122" spans="1:8" ht="13.5" customHeight="1" x14ac:dyDescent="0.2">
      <c r="A122" s="9" t="s">
        <v>9</v>
      </c>
      <c r="B122" s="10" t="str">
        <f>T("DOMUS AUTO 8"" REPLACEMENT MATTRESS WITH NON-QUILTED MATTRESS COVER")</f>
        <v>DOMUS AUTO 8" REPLACEMENT MATTRESS WITH NON-QUILTED MATTRESS COVER</v>
      </c>
      <c r="C122" s="10" t="str">
        <f>T("APEX MEDICAL CORP")</f>
        <v>APEX MEDICAL CORP</v>
      </c>
      <c r="D122" s="10" t="str">
        <f>T("PM09402")</f>
        <v>PM09402</v>
      </c>
      <c r="E122" s="10" t="str">
        <f t="shared" si="28"/>
        <v>A9270</v>
      </c>
      <c r="F122" s="10" t="str">
        <f t="shared" si="29"/>
        <v>12/18/2017</v>
      </c>
      <c r="G122" s="10" t="str">
        <f t="shared" si="30"/>
        <v/>
      </c>
      <c r="H122" s="10" t="str">
        <f t="shared" si="30"/>
        <v/>
      </c>
    </row>
    <row r="123" spans="1:8" ht="13.5" customHeight="1" x14ac:dyDescent="0.2">
      <c r="A123" s="9" t="s">
        <v>9</v>
      </c>
      <c r="B123" s="10" t="str">
        <f>T("ASD ANTERIOR ORAL APPLIANCE")</f>
        <v>ASD ANTERIOR ORAL APPLIANCE</v>
      </c>
      <c r="C123" s="10" t="str">
        <f>T("AMERICAN SLEEP DENTISTRY")</f>
        <v>AMERICAN SLEEP DENTISTRY</v>
      </c>
      <c r="D123" s="10" t="str">
        <f>T("ASD-AOA")</f>
        <v>ASD-AOA</v>
      </c>
      <c r="E123" s="10" t="str">
        <f t="shared" si="28"/>
        <v>A9270</v>
      </c>
      <c r="F123" s="10" t="str">
        <f t="shared" si="29"/>
        <v>12/18/2017</v>
      </c>
      <c r="G123" s="10" t="str">
        <f t="shared" si="30"/>
        <v/>
      </c>
      <c r="H123" s="10" t="str">
        <f t="shared" si="30"/>
        <v/>
      </c>
    </row>
    <row r="124" spans="1:8" ht="13.5" customHeight="1" x14ac:dyDescent="0.2">
      <c r="A124" s="9" t="s">
        <v>9</v>
      </c>
      <c r="B124" s="10" t="str">
        <f>T("DOMUS AUTO PUMP AND 8"" REPLACEMENT MATTRESS WITH QUILTED MATTRESS COVER")</f>
        <v>DOMUS AUTO PUMP AND 8" REPLACEMENT MATTRESS WITH QUILTED MATTRESS COVER</v>
      </c>
      <c r="C124" s="10" t="str">
        <f t="shared" ref="C124:C152" si="31">T("APEX MEDICAL CORP")</f>
        <v>APEX MEDICAL CORP</v>
      </c>
      <c r="D124" s="10" t="str">
        <f>T("PD03501")</f>
        <v>PD03501</v>
      </c>
      <c r="E124" s="10" t="str">
        <f t="shared" si="28"/>
        <v>A9270</v>
      </c>
      <c r="F124" s="10" t="str">
        <f t="shared" si="29"/>
        <v>12/18/2017</v>
      </c>
      <c r="G124" s="10" t="str">
        <f t="shared" si="30"/>
        <v/>
      </c>
      <c r="H124" s="10" t="str">
        <f t="shared" si="30"/>
        <v/>
      </c>
    </row>
    <row r="125" spans="1:8" ht="13.5" customHeight="1" x14ac:dyDescent="0.2">
      <c r="A125" s="9" t="s">
        <v>9</v>
      </c>
      <c r="B125" s="10" t="str">
        <f>T("DOMUS AUTO PUMP AND 8"" REPLACEMENT MATTRESS WITH NON-QUILTED MATTRESS COVER")</f>
        <v>DOMUS AUTO PUMP AND 8" REPLACEMENT MATTRESS WITH NON-QUILTED MATTRESS COVER</v>
      </c>
      <c r="C125" s="10" t="str">
        <f t="shared" si="31"/>
        <v>APEX MEDICAL CORP</v>
      </c>
      <c r="D125" s="10" t="str">
        <f>T("PD03502")</f>
        <v>PD03502</v>
      </c>
      <c r="E125" s="10" t="str">
        <f t="shared" si="28"/>
        <v>A9270</v>
      </c>
      <c r="F125" s="10" t="str">
        <f t="shared" si="29"/>
        <v>12/18/2017</v>
      </c>
      <c r="G125" s="10" t="str">
        <f t="shared" si="30"/>
        <v/>
      </c>
      <c r="H125" s="10" t="str">
        <f t="shared" si="30"/>
        <v/>
      </c>
    </row>
    <row r="126" spans="1:8" ht="13.5" customHeight="1" x14ac:dyDescent="0.2">
      <c r="A126" s="9" t="s">
        <v>9</v>
      </c>
      <c r="B126" s="10" t="str">
        <f>T("DOMUS 4 PUMP AND 8"" REPLACEMENT MATTRESS WITH QUILTED MATTRESS COVER")</f>
        <v>DOMUS 4 PUMP AND 8" REPLACEMENT MATTRESS WITH QUILTED MATTRESS COVER</v>
      </c>
      <c r="C126" s="10" t="str">
        <f t="shared" si="31"/>
        <v>APEX MEDICAL CORP</v>
      </c>
      <c r="D126" s="10" t="str">
        <f>T("PD02501")</f>
        <v>PD02501</v>
      </c>
      <c r="E126" s="10" t="str">
        <f t="shared" si="28"/>
        <v>A9270</v>
      </c>
      <c r="F126" s="10" t="str">
        <f t="shared" si="29"/>
        <v>12/18/2017</v>
      </c>
      <c r="G126" s="10" t="str">
        <f t="shared" si="30"/>
        <v/>
      </c>
      <c r="H126" s="10" t="str">
        <f t="shared" si="30"/>
        <v/>
      </c>
    </row>
    <row r="127" spans="1:8" ht="13.5" customHeight="1" x14ac:dyDescent="0.2">
      <c r="A127" s="9" t="s">
        <v>9</v>
      </c>
      <c r="B127" s="10" t="str">
        <f>T("DOMUS 4 PUMP AND 8"" REPLACEMENT MATTRESS WITH NON-QUILTED MATTRESS COVER")</f>
        <v>DOMUS 4 PUMP AND 8" REPLACEMENT MATTRESS WITH NON-QUILTED MATTRESS COVER</v>
      </c>
      <c r="C127" s="10" t="str">
        <f t="shared" si="31"/>
        <v>APEX MEDICAL CORP</v>
      </c>
      <c r="D127" s="10" t="str">
        <f>T("PD02502")</f>
        <v>PD02502</v>
      </c>
      <c r="E127" s="10" t="str">
        <f t="shared" si="28"/>
        <v>A9270</v>
      </c>
      <c r="F127" s="10" t="str">
        <f t="shared" si="29"/>
        <v>12/18/2017</v>
      </c>
      <c r="G127" s="10" t="str">
        <f t="shared" si="30"/>
        <v/>
      </c>
      <c r="H127" s="10" t="str">
        <f t="shared" si="30"/>
        <v/>
      </c>
    </row>
    <row r="128" spans="1:8" ht="13.5" customHeight="1" x14ac:dyDescent="0.2">
      <c r="A128" s="9" t="s">
        <v>9</v>
      </c>
      <c r="B128" s="10" t="str">
        <f>T("DOMUS 4 PUMP")</f>
        <v>DOMUS 4 PUMP</v>
      </c>
      <c r="C128" s="10" t="str">
        <f t="shared" si="31"/>
        <v>APEX MEDICAL CORP</v>
      </c>
      <c r="D128" s="10" t="str">
        <f>T("PD02001")</f>
        <v>PD02001</v>
      </c>
      <c r="E128" s="10" t="str">
        <f t="shared" si="28"/>
        <v>A9270</v>
      </c>
      <c r="F128" s="10" t="str">
        <f t="shared" si="29"/>
        <v>12/18/2017</v>
      </c>
      <c r="G128" s="10" t="str">
        <f t="shared" si="30"/>
        <v/>
      </c>
      <c r="H128" s="10" t="str">
        <f t="shared" si="30"/>
        <v/>
      </c>
    </row>
    <row r="129" spans="1:8" ht="13.5" customHeight="1" x14ac:dyDescent="0.2">
      <c r="A129" s="9" t="s">
        <v>9</v>
      </c>
      <c r="B129" s="10" t="str">
        <f>T("DOMUS 4 8"" REPLACEMENT MATTRESS WITH QUILTED MATTRESS COVER")</f>
        <v>DOMUS 4 8" REPLACEMENT MATTRESS WITH QUILTED MATTRESS COVER</v>
      </c>
      <c r="C129" s="10" t="str">
        <f t="shared" si="31"/>
        <v>APEX MEDICAL CORP</v>
      </c>
      <c r="D129" s="10" t="str">
        <f>T("PM09403")</f>
        <v>PM09403</v>
      </c>
      <c r="E129" s="10" t="str">
        <f t="shared" si="28"/>
        <v>A9270</v>
      </c>
      <c r="F129" s="10" t="str">
        <f t="shared" si="29"/>
        <v>12/18/2017</v>
      </c>
      <c r="G129" s="10" t="str">
        <f t="shared" si="30"/>
        <v/>
      </c>
      <c r="H129" s="10" t="str">
        <f t="shared" si="30"/>
        <v/>
      </c>
    </row>
    <row r="130" spans="1:8" ht="13.5" customHeight="1" x14ac:dyDescent="0.2">
      <c r="A130" s="9" t="s">
        <v>9</v>
      </c>
      <c r="B130" s="10" t="str">
        <f>T("DOMUS 4 8"" REPLACEMENT MATTRESS WITH NON-QUILTED MATTRESS COVER")</f>
        <v>DOMUS 4 8" REPLACEMENT MATTRESS WITH NON-QUILTED MATTRESS COVER</v>
      </c>
      <c r="C130" s="10" t="str">
        <f t="shared" si="31"/>
        <v>APEX MEDICAL CORP</v>
      </c>
      <c r="D130" s="10" t="str">
        <f>T("PM09404")</f>
        <v>PM09404</v>
      </c>
      <c r="E130" s="10" t="str">
        <f t="shared" si="28"/>
        <v>A9270</v>
      </c>
      <c r="F130" s="10" t="str">
        <f t="shared" si="29"/>
        <v>12/18/2017</v>
      </c>
      <c r="G130" s="10" t="str">
        <f t="shared" si="30"/>
        <v/>
      </c>
      <c r="H130" s="10" t="str">
        <f t="shared" si="30"/>
        <v/>
      </c>
    </row>
    <row r="131" spans="1:8" ht="13.5" customHeight="1" x14ac:dyDescent="0.2">
      <c r="A131" s="9" t="s">
        <v>9</v>
      </c>
      <c r="B131" s="10" t="str">
        <f>T("DOMUS 3 PUMP AND 8"" REPLACEMENT MATTRESS WITH QUILTED MATTRESS COVER")</f>
        <v>DOMUS 3 PUMP AND 8" REPLACEMENT MATTRESS WITH QUILTED MATTRESS COVER</v>
      </c>
      <c r="C131" s="10" t="str">
        <f t="shared" si="31"/>
        <v>APEX MEDICAL CORP</v>
      </c>
      <c r="D131" s="10" t="str">
        <f>T("PA01501")</f>
        <v>PA01501</v>
      </c>
      <c r="E131" s="10" t="str">
        <f t="shared" si="28"/>
        <v>A9270</v>
      </c>
      <c r="F131" s="10" t="str">
        <f t="shared" si="29"/>
        <v>12/18/2017</v>
      </c>
      <c r="G131" s="10" t="str">
        <f t="shared" si="30"/>
        <v/>
      </c>
      <c r="H131" s="10" t="str">
        <f t="shared" si="30"/>
        <v/>
      </c>
    </row>
    <row r="132" spans="1:8" ht="13.5" customHeight="1" x14ac:dyDescent="0.2">
      <c r="A132" s="9" t="s">
        <v>9</v>
      </c>
      <c r="B132" s="10" t="str">
        <f>T("DOMUS 3 PUMP AND 8"" REPLACEMENT MATTRESS WITH NON-QUILTED MATTRESS COVER")</f>
        <v>DOMUS 3 PUMP AND 8" REPLACEMENT MATTRESS WITH NON-QUILTED MATTRESS COVER</v>
      </c>
      <c r="C132" s="10" t="str">
        <f t="shared" si="31"/>
        <v>APEX MEDICAL CORP</v>
      </c>
      <c r="D132" s="10" t="str">
        <f>T("PA01502")</f>
        <v>PA01502</v>
      </c>
      <c r="E132" s="10" t="str">
        <f t="shared" si="28"/>
        <v>A9270</v>
      </c>
      <c r="F132" s="10" t="str">
        <f t="shared" si="29"/>
        <v>12/18/2017</v>
      </c>
      <c r="G132" s="10" t="str">
        <f t="shared" si="30"/>
        <v/>
      </c>
      <c r="H132" s="10" t="str">
        <f t="shared" si="30"/>
        <v/>
      </c>
    </row>
    <row r="133" spans="1:8" ht="13.5" customHeight="1" x14ac:dyDescent="0.2">
      <c r="A133" s="9" t="s">
        <v>9</v>
      </c>
      <c r="B133" s="10" t="str">
        <f>T("DOMUS 3 PUMP FOR 8"" REPLACEMENT MATTRESS")</f>
        <v>DOMUS 3 PUMP FOR 8" REPLACEMENT MATTRESS</v>
      </c>
      <c r="C133" s="10" t="str">
        <f t="shared" si="31"/>
        <v>APEX MEDICAL CORP</v>
      </c>
      <c r="D133" s="10" t="str">
        <f>T("PA01001")</f>
        <v>PA01001</v>
      </c>
      <c r="E133" s="10" t="str">
        <f t="shared" si="28"/>
        <v>A9270</v>
      </c>
      <c r="F133" s="10" t="str">
        <f t="shared" si="29"/>
        <v>12/18/2017</v>
      </c>
      <c r="G133" s="10" t="str">
        <f t="shared" si="30"/>
        <v/>
      </c>
      <c r="H133" s="10" t="str">
        <f t="shared" si="30"/>
        <v/>
      </c>
    </row>
    <row r="134" spans="1:8" ht="13.5" customHeight="1" x14ac:dyDescent="0.2">
      <c r="A134" s="9" t="s">
        <v>9</v>
      </c>
      <c r="B134" s="10" t="str">
        <f>T("DOMUS 3 8"" REPLACEMENT MATTRESS WITH QUILTED MATTRESS COVER")</f>
        <v>DOMUS 3 8" REPLACEMENT MATTRESS WITH QUILTED MATTRESS COVER</v>
      </c>
      <c r="C134" s="10" t="str">
        <f t="shared" si="31"/>
        <v>APEX MEDICAL CORP</v>
      </c>
      <c r="D134" s="10" t="str">
        <f>T("PM09405")</f>
        <v>PM09405</v>
      </c>
      <c r="E134" s="10" t="str">
        <f t="shared" si="28"/>
        <v>A9270</v>
      </c>
      <c r="F134" s="10" t="str">
        <f t="shared" si="29"/>
        <v>12/18/2017</v>
      </c>
      <c r="G134" s="10" t="str">
        <f t="shared" si="30"/>
        <v/>
      </c>
      <c r="H134" s="10" t="str">
        <f t="shared" si="30"/>
        <v/>
      </c>
    </row>
    <row r="135" spans="1:8" ht="13.5" customHeight="1" x14ac:dyDescent="0.2">
      <c r="A135" s="9" t="s">
        <v>9</v>
      </c>
      <c r="B135" s="10" t="str">
        <f>T("DOMUS 3 8"" REPLACEMENT MATTRESS WITH NON-QUILTED MATTRESS")</f>
        <v>DOMUS 3 8" REPLACEMENT MATTRESS WITH NON-QUILTED MATTRESS</v>
      </c>
      <c r="C135" s="10" t="str">
        <f t="shared" si="31"/>
        <v>APEX MEDICAL CORP</v>
      </c>
      <c r="D135" s="10" t="str">
        <f>T("PM09406")</f>
        <v>PM09406</v>
      </c>
      <c r="E135" s="10" t="str">
        <f t="shared" si="28"/>
        <v>A9270</v>
      </c>
      <c r="F135" s="10" t="str">
        <f t="shared" si="29"/>
        <v>12/18/2017</v>
      </c>
      <c r="G135" s="10" t="str">
        <f t="shared" si="30"/>
        <v/>
      </c>
      <c r="H135" s="10" t="str">
        <f t="shared" si="30"/>
        <v/>
      </c>
    </row>
    <row r="136" spans="1:8" ht="13.5" customHeight="1" x14ac:dyDescent="0.2">
      <c r="A136" s="9" t="s">
        <v>9</v>
      </c>
      <c r="B136" s="10" t="str">
        <f>T("SERENE PUMP AND 8"" MATTRESS WITH QUILTED MATTRESS COVER WIDTH 42""")</f>
        <v>SERENE PUMP AND 8" MATTRESS WITH QUILTED MATTRESS COVER WIDTH 42"</v>
      </c>
      <c r="C136" s="10" t="str">
        <f t="shared" si="31"/>
        <v>APEX MEDICAL CORP</v>
      </c>
      <c r="D136" s="10" t="str">
        <f>T("PL01603")</f>
        <v>PL01603</v>
      </c>
      <c r="E136" s="10" t="str">
        <f t="shared" si="28"/>
        <v>A9270</v>
      </c>
      <c r="F136" s="10" t="str">
        <f>T("12/21/2017")</f>
        <v>12/21/2017</v>
      </c>
      <c r="G136" s="10" t="str">
        <f t="shared" si="30"/>
        <v/>
      </c>
      <c r="H136" s="10" t="str">
        <f t="shared" si="30"/>
        <v/>
      </c>
    </row>
    <row r="137" spans="1:8" ht="13.5" customHeight="1" x14ac:dyDescent="0.2">
      <c r="A137" s="9" t="s">
        <v>9</v>
      </c>
      <c r="B137" s="10" t="str">
        <f>T("SERENE PUMP AND 8"" MATTRESS WITH NON-QUILTED MATTRESS COVER WIDTH 42""")</f>
        <v>SERENE PUMP AND 8" MATTRESS WITH NON-QUILTED MATTRESS COVER WIDTH 42"</v>
      </c>
      <c r="C137" s="10" t="str">
        <f t="shared" si="31"/>
        <v>APEX MEDICAL CORP</v>
      </c>
      <c r="D137" s="10" t="str">
        <f>T("PL01604")</f>
        <v>PL01604</v>
      </c>
      <c r="E137" s="10" t="str">
        <f t="shared" si="28"/>
        <v>A9270</v>
      </c>
      <c r="F137" s="10" t="str">
        <f>T("12/21/2017")</f>
        <v>12/21/2017</v>
      </c>
      <c r="G137" s="10" t="str">
        <f t="shared" si="30"/>
        <v/>
      </c>
      <c r="H137" s="10" t="str">
        <f t="shared" si="30"/>
        <v/>
      </c>
    </row>
    <row r="138" spans="1:8" ht="13.5" customHeight="1" x14ac:dyDescent="0.2">
      <c r="A138" s="9" t="s">
        <v>9</v>
      </c>
      <c r="B138" s="10" t="str">
        <f>T("SERENE 8"" MATTRESS WITH QUILTED MATTRESS COVER WIDTH 42""")</f>
        <v>SERENE 8" MATTRESS WITH QUILTED MATTRESS COVER WIDTH 42"</v>
      </c>
      <c r="C138" s="10" t="str">
        <f t="shared" si="31"/>
        <v>APEX MEDICAL CORP</v>
      </c>
      <c r="D138" s="10" t="str">
        <f>T("PM10501")</f>
        <v>PM10501</v>
      </c>
      <c r="E138" s="10" t="str">
        <f t="shared" si="28"/>
        <v>A9270</v>
      </c>
      <c r="F138" s="10" t="str">
        <f>T("12/21/2017")</f>
        <v>12/21/2017</v>
      </c>
      <c r="G138" s="10" t="str">
        <f t="shared" si="30"/>
        <v/>
      </c>
      <c r="H138" s="10" t="str">
        <f t="shared" si="30"/>
        <v/>
      </c>
    </row>
    <row r="139" spans="1:8" ht="13.5" customHeight="1" x14ac:dyDescent="0.2">
      <c r="A139" s="9" t="s">
        <v>9</v>
      </c>
      <c r="B139" s="10" t="str">
        <f>T("SERENE 8"" MATTRESS WITH NON-QUILTED MATTRESS COVER WIDTH 42""")</f>
        <v>SERENE 8" MATTRESS WITH NON-QUILTED MATTRESS COVER WIDTH 42"</v>
      </c>
      <c r="C139" s="10" t="str">
        <f t="shared" si="31"/>
        <v>APEX MEDICAL CORP</v>
      </c>
      <c r="D139" s="10" t="str">
        <f>T("PM10502")</f>
        <v>PM10502</v>
      </c>
      <c r="E139" s="10" t="str">
        <f t="shared" si="28"/>
        <v>A9270</v>
      </c>
      <c r="F139" s="10" t="str">
        <f>T("12/21/2017")</f>
        <v>12/21/2017</v>
      </c>
      <c r="G139" s="10" t="str">
        <f t="shared" si="30"/>
        <v/>
      </c>
      <c r="H139" s="10" t="str">
        <f t="shared" si="30"/>
        <v/>
      </c>
    </row>
    <row r="140" spans="1:8" ht="13.5" customHeight="1" x14ac:dyDescent="0.2">
      <c r="A140" s="9" t="s">
        <v>9</v>
      </c>
      <c r="B140" s="10" t="str">
        <f>T("SERENE PUMP FOR 42"" &amp; 48"" WIDTH MATTRESS")</f>
        <v>SERENE PUMP FOR 42" &amp; 48" WIDTH MATTRESS</v>
      </c>
      <c r="C140" s="10" t="str">
        <f t="shared" si="31"/>
        <v>APEX MEDICAL CORP</v>
      </c>
      <c r="D140" s="10" t="str">
        <f>T("PL01002")</f>
        <v>PL01002</v>
      </c>
      <c r="E140" s="10" t="str">
        <f t="shared" si="28"/>
        <v>A9270</v>
      </c>
      <c r="F140" s="10" t="str">
        <f>T("12/21/2017")</f>
        <v>12/21/2017</v>
      </c>
      <c r="G140" s="10" t="str">
        <f t="shared" ref="G140:H157" si="32">T("")</f>
        <v/>
      </c>
      <c r="H140" s="10" t="str">
        <f t="shared" si="32"/>
        <v/>
      </c>
    </row>
    <row r="141" spans="1:8" ht="13.5" customHeight="1" x14ac:dyDescent="0.2">
      <c r="A141" s="9" t="s">
        <v>9</v>
      </c>
      <c r="B141" s="10" t="str">
        <f>T("DOMUS 1 PUMP AND 2.5"" BUBBLE PAD OVERLAY")</f>
        <v>DOMUS 1 PUMP AND 2.5" BUBBLE PAD OVERLAY</v>
      </c>
      <c r="C141" s="10" t="str">
        <f t="shared" si="31"/>
        <v>APEX MEDICAL CORP</v>
      </c>
      <c r="D141" s="10" t="str">
        <f>T("PP01101")</f>
        <v>PP01101</v>
      </c>
      <c r="E141" s="10" t="str">
        <f t="shared" si="28"/>
        <v>A9270</v>
      </c>
      <c r="F141" s="10" t="str">
        <f>T("12/26/2017")</f>
        <v>12/26/2017</v>
      </c>
      <c r="G141" s="10" t="str">
        <f t="shared" si="32"/>
        <v/>
      </c>
      <c r="H141" s="10" t="str">
        <f t="shared" si="32"/>
        <v/>
      </c>
    </row>
    <row r="142" spans="1:8" ht="13.5" customHeight="1" x14ac:dyDescent="0.2">
      <c r="A142" s="9" t="s">
        <v>9</v>
      </c>
      <c r="B142" s="10" t="str">
        <f>T("DOMUS 1 PUMP")</f>
        <v>DOMUS 1 PUMP</v>
      </c>
      <c r="C142" s="10" t="str">
        <f t="shared" si="31"/>
        <v>APEX MEDICAL CORP</v>
      </c>
      <c r="D142" s="10" t="str">
        <f>T("PP01001")</f>
        <v>PP01001</v>
      </c>
      <c r="E142" s="10" t="str">
        <f t="shared" si="28"/>
        <v>A9270</v>
      </c>
      <c r="F142" s="10" t="str">
        <f>T("12/26/2017")</f>
        <v>12/26/2017</v>
      </c>
      <c r="G142" s="10" t="str">
        <f t="shared" si="32"/>
        <v/>
      </c>
      <c r="H142" s="10" t="str">
        <f t="shared" si="32"/>
        <v/>
      </c>
    </row>
    <row r="143" spans="1:8" ht="13.5" customHeight="1" x14ac:dyDescent="0.2">
      <c r="A143" s="9" t="s">
        <v>9</v>
      </c>
      <c r="B143" s="10" t="str">
        <f>T("DOMUS 1 2.5"" BUBBLE PAD OVERLAY")</f>
        <v>DOMUS 1 2.5" BUBBLE PAD OVERLAY</v>
      </c>
      <c r="C143" s="10" t="str">
        <f t="shared" si="31"/>
        <v>APEX MEDICAL CORP</v>
      </c>
      <c r="D143" s="10" t="str">
        <f>T("PM03401")</f>
        <v>PM03401</v>
      </c>
      <c r="E143" s="10" t="str">
        <f t="shared" si="28"/>
        <v>A9270</v>
      </c>
      <c r="F143" s="10" t="str">
        <f>T("12/26/2017")</f>
        <v>12/26/2017</v>
      </c>
      <c r="G143" s="10" t="str">
        <f t="shared" si="32"/>
        <v/>
      </c>
      <c r="H143" s="10" t="str">
        <f t="shared" si="32"/>
        <v/>
      </c>
    </row>
    <row r="144" spans="1:8" ht="13.5" customHeight="1" x14ac:dyDescent="0.2">
      <c r="A144" s="9" t="s">
        <v>9</v>
      </c>
      <c r="B144" s="10" t="str">
        <f>T("SERENE 8"" MATTRESS WITH NON-QUILTED MATTRESS COVER WIDTH 48""")</f>
        <v>SERENE 8" MATTRESS WITH NON-QUILTED MATTRESS COVER WIDTH 48"</v>
      </c>
      <c r="C144" s="10" t="str">
        <f t="shared" si="31"/>
        <v>APEX MEDICAL CORP</v>
      </c>
      <c r="D144" s="10" t="str">
        <f>T("PM10602")</f>
        <v>PM10602</v>
      </c>
      <c r="E144" s="10" t="str">
        <f t="shared" si="28"/>
        <v>A9270</v>
      </c>
      <c r="F144" s="10" t="str">
        <f t="shared" ref="F144:F152" si="33">T("12/28/2017")</f>
        <v>12/28/2017</v>
      </c>
      <c r="G144" s="10" t="str">
        <f t="shared" si="32"/>
        <v/>
      </c>
      <c r="H144" s="10" t="str">
        <f t="shared" si="32"/>
        <v/>
      </c>
    </row>
    <row r="145" spans="1:8" ht="13.5" customHeight="1" x14ac:dyDescent="0.2">
      <c r="A145" s="9" t="s">
        <v>9</v>
      </c>
      <c r="B145" s="10" t="str">
        <f>T("SERENE PUMP AND 8"" MATTRESS WITH QUILTED MATTRESS COVER WIDTH 48""")</f>
        <v>SERENE PUMP AND 8" MATTRESS WITH QUILTED MATTRESS COVER WIDTH 48"</v>
      </c>
      <c r="C145" s="10" t="str">
        <f t="shared" si="31"/>
        <v>APEX MEDICAL CORP</v>
      </c>
      <c r="D145" s="10" t="str">
        <f>T("PL01605")</f>
        <v>PL01605</v>
      </c>
      <c r="E145" s="10" t="str">
        <f t="shared" si="28"/>
        <v>A9270</v>
      </c>
      <c r="F145" s="10" t="str">
        <f t="shared" si="33"/>
        <v>12/28/2017</v>
      </c>
      <c r="G145" s="10" t="str">
        <f t="shared" si="32"/>
        <v/>
      </c>
      <c r="H145" s="10" t="str">
        <f t="shared" si="32"/>
        <v/>
      </c>
    </row>
    <row r="146" spans="1:8" ht="13.5" customHeight="1" x14ac:dyDescent="0.2">
      <c r="A146" s="9" t="s">
        <v>9</v>
      </c>
      <c r="B146" s="10" t="str">
        <f>T("SERENE PUMP AND 8"" MATTRESS WITH NON-QUILTED MATTRESS COVER WIDTH 48""")</f>
        <v>SERENE PUMP AND 8" MATTRESS WITH NON-QUILTED MATTRESS COVER WIDTH 48"</v>
      </c>
      <c r="C146" s="10" t="str">
        <f t="shared" si="31"/>
        <v>APEX MEDICAL CORP</v>
      </c>
      <c r="D146" s="10" t="str">
        <f>T("PL01606")</f>
        <v>PL01606</v>
      </c>
      <c r="E146" s="10" t="str">
        <f t="shared" si="28"/>
        <v>A9270</v>
      </c>
      <c r="F146" s="10" t="str">
        <f t="shared" si="33"/>
        <v>12/28/2017</v>
      </c>
      <c r="G146" s="10" t="str">
        <f t="shared" si="32"/>
        <v/>
      </c>
      <c r="H146" s="10" t="str">
        <f t="shared" si="32"/>
        <v/>
      </c>
    </row>
    <row r="147" spans="1:8" ht="13.5" customHeight="1" x14ac:dyDescent="0.2">
      <c r="A147" s="9" t="s">
        <v>9</v>
      </c>
      <c r="B147" s="10" t="str">
        <f>T("SERENE 8"" MATTRESS WITH QUILTED MATTRESS COVER WIDTH 48""")</f>
        <v>SERENE 8" MATTRESS WITH QUILTED MATTRESS COVER WIDTH 48"</v>
      </c>
      <c r="C147" s="10" t="str">
        <f t="shared" si="31"/>
        <v>APEX MEDICAL CORP</v>
      </c>
      <c r="D147" s="10" t="str">
        <f>T("PM10601")</f>
        <v>PM10601</v>
      </c>
      <c r="E147" s="10" t="str">
        <f t="shared" si="28"/>
        <v>A9270</v>
      </c>
      <c r="F147" s="10" t="str">
        <f t="shared" si="33"/>
        <v>12/28/2017</v>
      </c>
      <c r="G147" s="10" t="str">
        <f t="shared" si="32"/>
        <v/>
      </c>
      <c r="H147" s="10" t="str">
        <f t="shared" si="32"/>
        <v/>
      </c>
    </row>
    <row r="148" spans="1:8" ht="13.5" customHeight="1" x14ac:dyDescent="0.2">
      <c r="A148" s="9" t="s">
        <v>9</v>
      </c>
      <c r="B148" s="10" t="str">
        <f>T("SERENE 8"" MATTRESS WITH NON-QUILTED MATTRESS COVER WIDTH 36""")</f>
        <v>SERENE 8" MATTRESS WITH NON-QUILTED MATTRESS COVER WIDTH 36"</v>
      </c>
      <c r="C148" s="10" t="str">
        <f t="shared" si="31"/>
        <v>APEX MEDICAL CORP</v>
      </c>
      <c r="D148" s="10" t="str">
        <f>T("PM10402")</f>
        <v>PM10402</v>
      </c>
      <c r="E148" s="10" t="str">
        <f t="shared" si="28"/>
        <v>A9270</v>
      </c>
      <c r="F148" s="10" t="str">
        <f t="shared" si="33"/>
        <v>12/28/2017</v>
      </c>
      <c r="G148" s="10" t="str">
        <f t="shared" si="32"/>
        <v/>
      </c>
      <c r="H148" s="10" t="str">
        <f t="shared" si="32"/>
        <v/>
      </c>
    </row>
    <row r="149" spans="1:8" ht="13.5" customHeight="1" x14ac:dyDescent="0.2">
      <c r="A149" s="9" t="s">
        <v>9</v>
      </c>
      <c r="B149" s="10" t="str">
        <f>T("SERENE PUMP AND 8"" MATTRESS WITH QUILTED MATTRESS COVER WIDTH 36""")</f>
        <v>SERENE PUMP AND 8" MATTRESS WITH QUILTED MATTRESS COVER WIDTH 36"</v>
      </c>
      <c r="C149" s="10" t="str">
        <f t="shared" si="31"/>
        <v>APEX MEDICAL CORP</v>
      </c>
      <c r="D149" s="10" t="str">
        <f>T("PL01601")</f>
        <v>PL01601</v>
      </c>
      <c r="E149" s="10" t="str">
        <f t="shared" si="28"/>
        <v>A9270</v>
      </c>
      <c r="F149" s="10" t="str">
        <f t="shared" si="33"/>
        <v>12/28/2017</v>
      </c>
      <c r="G149" s="10" t="str">
        <f t="shared" si="32"/>
        <v/>
      </c>
      <c r="H149" s="10" t="str">
        <f t="shared" si="32"/>
        <v/>
      </c>
    </row>
    <row r="150" spans="1:8" ht="13.5" customHeight="1" x14ac:dyDescent="0.2">
      <c r="A150" s="9" t="s">
        <v>9</v>
      </c>
      <c r="B150" s="10" t="str">
        <f>T("SERENE PUMP AND 8"" MATTRESS WITH NON-QUILTED MATTRESS COVER WIDTH 36""")</f>
        <v>SERENE PUMP AND 8" MATTRESS WITH NON-QUILTED MATTRESS COVER WIDTH 36"</v>
      </c>
      <c r="C150" s="10" t="str">
        <f t="shared" si="31"/>
        <v>APEX MEDICAL CORP</v>
      </c>
      <c r="D150" s="10" t="str">
        <f>T("PL01602")</f>
        <v>PL01602</v>
      </c>
      <c r="E150" s="10" t="str">
        <f t="shared" si="28"/>
        <v>A9270</v>
      </c>
      <c r="F150" s="10" t="str">
        <f t="shared" si="33"/>
        <v>12/28/2017</v>
      </c>
      <c r="G150" s="10" t="str">
        <f t="shared" si="32"/>
        <v/>
      </c>
      <c r="H150" s="10" t="str">
        <f t="shared" si="32"/>
        <v/>
      </c>
    </row>
    <row r="151" spans="1:8" ht="13.5" customHeight="1" x14ac:dyDescent="0.2">
      <c r="A151" s="9" t="s">
        <v>9</v>
      </c>
      <c r="B151" s="10" t="str">
        <f>T("SERENE PUMP FOR 36"" WIDTH MATTRESS")</f>
        <v>SERENE PUMP FOR 36" WIDTH MATTRESS</v>
      </c>
      <c r="C151" s="10" t="str">
        <f t="shared" si="31"/>
        <v>APEX MEDICAL CORP</v>
      </c>
      <c r="D151" s="10" t="str">
        <f>T("PL01001")</f>
        <v>PL01001</v>
      </c>
      <c r="E151" s="10" t="str">
        <f t="shared" si="28"/>
        <v>A9270</v>
      </c>
      <c r="F151" s="10" t="str">
        <f t="shared" si="33"/>
        <v>12/28/2017</v>
      </c>
      <c r="G151" s="10" t="str">
        <f t="shared" si="32"/>
        <v/>
      </c>
      <c r="H151" s="10" t="str">
        <f t="shared" si="32"/>
        <v/>
      </c>
    </row>
    <row r="152" spans="1:8" ht="13.5" customHeight="1" x14ac:dyDescent="0.2">
      <c r="A152" s="9" t="s">
        <v>9</v>
      </c>
      <c r="B152" s="10" t="str">
        <f>T("SERENE 8"" MATTRESS WITH QUILTED MATTRESS COVER WIDTH 36""")</f>
        <v>SERENE 8" MATTRESS WITH QUILTED MATTRESS COVER WIDTH 36"</v>
      </c>
      <c r="C152" s="10" t="str">
        <f t="shared" si="31"/>
        <v>APEX MEDICAL CORP</v>
      </c>
      <c r="D152" s="10" t="str">
        <f>T("PM10401")</f>
        <v>PM10401</v>
      </c>
      <c r="E152" s="10" t="str">
        <f t="shared" si="28"/>
        <v>A9270</v>
      </c>
      <c r="F152" s="10" t="str">
        <f t="shared" si="33"/>
        <v>12/28/2017</v>
      </c>
      <c r="G152" s="10" t="str">
        <f t="shared" si="32"/>
        <v/>
      </c>
      <c r="H152" s="10" t="str">
        <f t="shared" si="32"/>
        <v/>
      </c>
    </row>
    <row r="153" spans="1:8" ht="13.5" customHeight="1" x14ac:dyDescent="0.2">
      <c r="A153" s="9" t="s">
        <v>9</v>
      </c>
      <c r="B153" s="10" t="str">
        <f>T("NARZIO-HI BLACK")</f>
        <v>NARZIO-HI BLACK</v>
      </c>
      <c r="C153" s="10" t="str">
        <f>T("NARZIO AMERICA LLC")</f>
        <v>NARZIO AMERICA LLC</v>
      </c>
      <c r="D153" s="10" t="str">
        <f>T("")</f>
        <v/>
      </c>
      <c r="E153" s="10" t="str">
        <f t="shared" si="28"/>
        <v>A9270</v>
      </c>
      <c r="F153" s="10" t="str">
        <f>T("12/29/2017")</f>
        <v>12/29/2017</v>
      </c>
      <c r="G153" s="10" t="str">
        <f t="shared" si="32"/>
        <v/>
      </c>
      <c r="H153" s="10" t="str">
        <f t="shared" si="32"/>
        <v/>
      </c>
    </row>
    <row r="154" spans="1:8" ht="13.5" customHeight="1" x14ac:dyDescent="0.2">
      <c r="A154" s="9" t="s">
        <v>9</v>
      </c>
      <c r="B154" s="10" t="str">
        <f>T("NARZIO-HI WHITE")</f>
        <v>NARZIO-HI WHITE</v>
      </c>
      <c r="C154" s="10" t="str">
        <f>T("NARZIO AMERICA LLC")</f>
        <v>NARZIO AMERICA LLC</v>
      </c>
      <c r="D154" s="10" t="str">
        <f>T("")</f>
        <v/>
      </c>
      <c r="E154" s="10" t="str">
        <f t="shared" si="28"/>
        <v>A9270</v>
      </c>
      <c r="F154" s="10" t="str">
        <f>T("12/29/2017")</f>
        <v>12/29/2017</v>
      </c>
      <c r="G154" s="10" t="str">
        <f t="shared" si="32"/>
        <v/>
      </c>
      <c r="H154" s="10" t="str">
        <f t="shared" si="32"/>
        <v/>
      </c>
    </row>
    <row r="155" spans="1:8" ht="13.5" customHeight="1" x14ac:dyDescent="0.2">
      <c r="A155" s="9" t="s">
        <v>9</v>
      </c>
      <c r="B155" s="10" t="str">
        <f>T("NARZIO-HI WINE")</f>
        <v>NARZIO-HI WINE</v>
      </c>
      <c r="C155" s="10" t="str">
        <f>T("NARZIO AMERICA LLC")</f>
        <v>NARZIO AMERICA LLC</v>
      </c>
      <c r="D155" s="10" t="str">
        <f>T("")</f>
        <v/>
      </c>
      <c r="E155" s="10" t="str">
        <f t="shared" si="28"/>
        <v>A9270</v>
      </c>
      <c r="F155" s="10" t="str">
        <f>T("12/29/2017")</f>
        <v>12/29/2017</v>
      </c>
      <c r="G155" s="10" t="str">
        <f t="shared" si="32"/>
        <v/>
      </c>
      <c r="H155" s="10" t="str">
        <f t="shared" si="32"/>
        <v/>
      </c>
    </row>
    <row r="156" spans="1:8" ht="13.5" customHeight="1" x14ac:dyDescent="0.2">
      <c r="A156" s="9" t="s">
        <v>9</v>
      </c>
      <c r="B156" s="10" t="str">
        <f>T("NARZIO-NEWRUN BLACK")</f>
        <v>NARZIO-NEWRUN BLACK</v>
      </c>
      <c r="C156" s="10" t="str">
        <f>T("NARZIO AMERICA LLC")</f>
        <v>NARZIO AMERICA LLC</v>
      </c>
      <c r="D156" s="10" t="str">
        <f>T("")</f>
        <v/>
      </c>
      <c r="E156" s="10" t="str">
        <f t="shared" si="28"/>
        <v>A9270</v>
      </c>
      <c r="F156" s="10" t="str">
        <f>T("12/29/2017")</f>
        <v>12/29/2017</v>
      </c>
      <c r="G156" s="10" t="str">
        <f t="shared" si="32"/>
        <v/>
      </c>
      <c r="H156" s="10" t="str">
        <f t="shared" si="32"/>
        <v/>
      </c>
    </row>
    <row r="157" spans="1:8" ht="13.5" customHeight="1" x14ac:dyDescent="0.2">
      <c r="A157" s="9" t="s">
        <v>9</v>
      </c>
      <c r="B157" s="10" t="str">
        <f>T("NARZIO-NEWRUN PINK")</f>
        <v>NARZIO-NEWRUN PINK</v>
      </c>
      <c r="C157" s="10" t="str">
        <f>T("NARZIO AMERICA LLC")</f>
        <v>NARZIO AMERICA LLC</v>
      </c>
      <c r="D157" s="10" t="str">
        <f>T("")</f>
        <v/>
      </c>
      <c r="E157" s="10" t="str">
        <f t="shared" si="28"/>
        <v>A9270</v>
      </c>
      <c r="F157" s="10" t="str">
        <f>T("12/29/2017")</f>
        <v>12/29/2017</v>
      </c>
      <c r="G157" s="10" t="str">
        <f t="shared" si="32"/>
        <v/>
      </c>
      <c r="H157" s="10" t="str">
        <f t="shared" si="32"/>
        <v/>
      </c>
    </row>
    <row r="158" spans="1:8" ht="13.5" customHeight="1" x14ac:dyDescent="0.2">
      <c r="A158" s="9" t="s">
        <v>10</v>
      </c>
      <c r="B158" s="5" t="str">
        <f>T("BARIATRIC WALKER")</f>
        <v>BARIATRIC WALKER</v>
      </c>
      <c r="C158" s="5" t="str">
        <f>T("DYNAREX CORP")</f>
        <v>DYNAREX CORP</v>
      </c>
      <c r="D158" s="5" t="str">
        <f>T("10165")</f>
        <v>10165</v>
      </c>
      <c r="E158" s="5" t="str">
        <f t="shared" si="28"/>
        <v>A9270</v>
      </c>
      <c r="F158" s="5" t="str">
        <f>T("10/03/2017")</f>
        <v>10/03/2017</v>
      </c>
      <c r="G158" s="5" t="str">
        <f>T("12/17/2017")</f>
        <v>12/17/2017</v>
      </c>
      <c r="H158" s="5"/>
    </row>
    <row r="159" spans="1:8" ht="13.5" customHeight="1" x14ac:dyDescent="0.2">
      <c r="A159" s="9" t="s">
        <v>10</v>
      </c>
      <c r="B159" s="5" t="str">
        <f>T("BARIATRIC WALKER WITH TWO FRONT WHEELS")</f>
        <v>BARIATRIC WALKER WITH TWO FRONT WHEELS</v>
      </c>
      <c r="C159" s="5" t="str">
        <f>T("DYNAREX CORP")</f>
        <v>DYNAREX CORP</v>
      </c>
      <c r="D159" s="5" t="str">
        <f>T("10166")</f>
        <v>10166</v>
      </c>
      <c r="E159" s="5" t="str">
        <f t="shared" si="28"/>
        <v>A9270</v>
      </c>
      <c r="F159" s="5" t="str">
        <f>T("10/03/2017")</f>
        <v>10/03/2017</v>
      </c>
      <c r="G159" s="5" t="str">
        <f>T("12/17/2017")</f>
        <v>12/17/2017</v>
      </c>
      <c r="H159" s="5"/>
    </row>
    <row r="160" spans="1:8" ht="13.5" customHeight="1" x14ac:dyDescent="0.2">
      <c r="A160" s="9" t="s">
        <v>10</v>
      </c>
      <c r="B160" s="6" t="s">
        <v>24</v>
      </c>
      <c r="C160" s="6" t="s">
        <v>25</v>
      </c>
      <c r="D160" s="8" t="s">
        <v>26</v>
      </c>
      <c r="E160" s="6" t="s">
        <v>7</v>
      </c>
      <c r="F160" s="7">
        <v>43019</v>
      </c>
      <c r="G160" s="7">
        <v>43089</v>
      </c>
      <c r="H160" s="6"/>
    </row>
    <row r="161" spans="1:8" ht="13.5" customHeight="1" x14ac:dyDescent="0.2">
      <c r="A161" s="9" t="s">
        <v>10</v>
      </c>
      <c r="B161" s="6" t="s">
        <v>27</v>
      </c>
      <c r="C161" s="6" t="s">
        <v>28</v>
      </c>
      <c r="D161" s="8" t="s">
        <v>29</v>
      </c>
      <c r="E161" s="6" t="s">
        <v>7</v>
      </c>
      <c r="F161" s="7">
        <v>43010</v>
      </c>
      <c r="G161" s="7">
        <v>43089</v>
      </c>
      <c r="H161" s="6"/>
    </row>
    <row r="162" spans="1:8" ht="13.5" customHeight="1" x14ac:dyDescent="0.2">
      <c r="A162" s="9" t="s">
        <v>10</v>
      </c>
      <c r="B162" s="5" t="str">
        <f>T("SAFE N SIMPLE SIMPURITY HYDROGEL DRESSING 2 X 2 INCH")</f>
        <v>SAFE N SIMPLE SIMPURITY HYDROGEL DRESSING 2 X 2 INCH</v>
      </c>
      <c r="C162" s="5" t="str">
        <f>T("SAFE N SIMPLE LLC")</f>
        <v>SAFE N SIMPLE LLC</v>
      </c>
      <c r="D162" s="5" t="str">
        <f>T("SNS58302")</f>
        <v>SNS58302</v>
      </c>
      <c r="E162" s="5" t="str">
        <f>T("A9270")</f>
        <v>A9270</v>
      </c>
      <c r="F162" s="5" t="str">
        <f>T("10/11/2017")</f>
        <v>10/11/2017</v>
      </c>
      <c r="G162" s="5" t="str">
        <f>T("12/27/2017")</f>
        <v>12/27/2017</v>
      </c>
      <c r="H162" s="5"/>
    </row>
    <row r="163" spans="1:8" ht="13.5" customHeight="1" x14ac:dyDescent="0.2">
      <c r="A163" s="9" t="s">
        <v>10</v>
      </c>
      <c r="B163" s="5" t="str">
        <f>T("DYNAMO SWING - LARGE")</f>
        <v>DYNAMO SWING - LARGE</v>
      </c>
      <c r="C163" s="5" t="str">
        <f>T("DYNAMD")</f>
        <v>DYNAMD</v>
      </c>
      <c r="D163" s="5" t="str">
        <f>T("DMS1-001")</f>
        <v>DMS1-001</v>
      </c>
      <c r="E163" s="5" t="str">
        <f>T("A9270")</f>
        <v>A9270</v>
      </c>
      <c r="F163" s="5" t="str">
        <f>T("09/05/2017")</f>
        <v>09/05/2017</v>
      </c>
      <c r="G163" s="5" t="str">
        <f>T("12/28/2017")</f>
        <v>12/28/2017</v>
      </c>
      <c r="H163" s="5"/>
    </row>
    <row r="164" spans="1:8" ht="13.5" customHeight="1" x14ac:dyDescent="0.2">
      <c r="A164" s="9" t="s">
        <v>10</v>
      </c>
      <c r="B164" s="5" t="str">
        <f>T("DYNAMO SWING - SMALL")</f>
        <v>DYNAMO SWING - SMALL</v>
      </c>
      <c r="C164" s="5" t="str">
        <f>T("DYNAMD")</f>
        <v>DYNAMD</v>
      </c>
      <c r="D164" s="5" t="str">
        <f>T("DMS1-002")</f>
        <v>DMS1-002</v>
      </c>
      <c r="E164" s="5" t="str">
        <f>T("A9270")</f>
        <v>A9270</v>
      </c>
      <c r="F164" s="5" t="str">
        <f>T("09/05/2017")</f>
        <v>09/05/2017</v>
      </c>
      <c r="G164" s="5" t="str">
        <f>T("12/28/2017")</f>
        <v>12/28/2017</v>
      </c>
      <c r="H164" s="5"/>
    </row>
    <row r="165" spans="1:8" ht="13.5" customHeight="1" x14ac:dyDescent="0.2">
      <c r="A165" s="9" t="s">
        <v>10</v>
      </c>
      <c r="B165" s="5" t="str">
        <f>T("DYNAMO VERSA")</f>
        <v>DYNAMO VERSA</v>
      </c>
      <c r="C165" s="5" t="str">
        <f>T("DYNAMD")</f>
        <v>DYNAMD</v>
      </c>
      <c r="D165" s="5" t="str">
        <f>T("DMV1-001")</f>
        <v>DMV1-001</v>
      </c>
      <c r="E165" s="5" t="str">
        <f>T("A9270")</f>
        <v>A9270</v>
      </c>
      <c r="F165" s="5" t="str">
        <f>T("09/05/2017")</f>
        <v>09/05/2017</v>
      </c>
      <c r="G165" s="5" t="str">
        <f>T("12/28/2017")</f>
        <v>12/28/2017</v>
      </c>
      <c r="H165" s="5"/>
    </row>
    <row r="166" spans="1:8" ht="13.5" customHeight="1" x14ac:dyDescent="0.2">
      <c r="A166" s="9" t="s">
        <v>9</v>
      </c>
      <c r="B166" s="10" t="str">
        <f>T("SEDENS 500 PUMP")</f>
        <v>SEDENS 500 PUMP</v>
      </c>
      <c r="C166" s="10" t="str">
        <f>T("APEX MEDICAL CORP")</f>
        <v>APEX MEDICAL CORP</v>
      </c>
      <c r="D166" s="10" t="str">
        <f>T("PD01001")</f>
        <v>PD01001</v>
      </c>
      <c r="E166" s="10" t="str">
        <f>T("A9900 OR A9999")</f>
        <v>A9900 OR A9999</v>
      </c>
      <c r="F166" s="10" t="str">
        <f>T("12/26/2017")</f>
        <v>12/26/2017</v>
      </c>
      <c r="G166" s="10" t="str">
        <f t="shared" ref="G166:G179" si="34">T("")</f>
        <v/>
      </c>
      <c r="H166" s="10" t="str">
        <f>T("USE A9900 FOR INITIAL ISSUE. USE A9999 FOR REPLACEMENT.")</f>
        <v>USE A9900 FOR INITIAL ISSUE. USE A9999 FOR REPLACEMENT.</v>
      </c>
    </row>
    <row r="167" spans="1:8" ht="13.5" customHeight="1" x14ac:dyDescent="0.2">
      <c r="A167" s="9" t="s">
        <v>9</v>
      </c>
      <c r="B167" s="10" t="str">
        <f>T("SEDENS 500 BATTERY POWERED ALTERNATING SEAT CUSHION 17"" X 17""")</f>
        <v>SEDENS 500 BATTERY POWERED ALTERNATING SEAT CUSHION 17" X 17"</v>
      </c>
      <c r="C167" s="10" t="str">
        <f>T("APEX MEDICAL CORP")</f>
        <v>APEX MEDICAL CORP</v>
      </c>
      <c r="D167" s="10" t="str">
        <f>T("PM02102")</f>
        <v>PM02102</v>
      </c>
      <c r="E167" s="10" t="str">
        <f>T("A9900 OR A9999")</f>
        <v>A9900 OR A9999</v>
      </c>
      <c r="F167" s="10" t="str">
        <f>T("12/26/2017")</f>
        <v>12/26/2017</v>
      </c>
      <c r="G167" s="10" t="str">
        <f t="shared" si="34"/>
        <v/>
      </c>
      <c r="H167" s="10" t="str">
        <f>T("USE A9900 FOR INITIAL ISSUE. USE A9999 FOR REPLACEMENT.")</f>
        <v>USE A9900 FOR INITIAL ISSUE. USE A9999 FOR REPLACEMENT.</v>
      </c>
    </row>
    <row r="168" spans="1:8" ht="13.5" customHeight="1" x14ac:dyDescent="0.2">
      <c r="A168" s="9" t="s">
        <v>9</v>
      </c>
      <c r="B168" s="10" t="str">
        <f>T("PKU AIR15 GOLD")</f>
        <v>PKU AIR15 GOLD</v>
      </c>
      <c r="C168" s="10" t="str">
        <f>T("VITAFLO USA LLC")</f>
        <v>VITAFLO USA LLC</v>
      </c>
      <c r="D168" s="10" t="str">
        <f>T("21667")</f>
        <v>21667</v>
      </c>
      <c r="E168" s="10" t="str">
        <f>T("B4157 OR B4162")</f>
        <v>B4157 OR B4162</v>
      </c>
      <c r="F168" s="10" t="str">
        <f>T("12/01/2017")</f>
        <v>12/01/2017</v>
      </c>
      <c r="G168" s="10" t="str">
        <f t="shared" si="34"/>
        <v/>
      </c>
      <c r="H168" s="10" t="str">
        <f>T("ADD THE BO MODIFIER TO THE HCPCS CODE IF THE ENTERAL NUTRITION IS BEING ADMINISTERED ORALLY AND IS NOT BEING ADMINISTERED BY A FEEDING TUBE")</f>
        <v>ADD THE BO MODIFIER TO THE HCPCS CODE IF THE ENTERAL NUTRITION IS BEING ADMINISTERED ORALLY AND IS NOT BEING ADMINISTERED BY A FEEDING TUBE</v>
      </c>
    </row>
    <row r="169" spans="1:8" ht="13.5" customHeight="1" x14ac:dyDescent="0.2">
      <c r="A169" s="9" t="s">
        <v>9</v>
      </c>
      <c r="B169" s="10" t="str">
        <f>T("PKU AIR15 GREEN")</f>
        <v>PKU AIR15 GREEN</v>
      </c>
      <c r="C169" s="10" t="str">
        <f>T("VITAFLO USA LLC")</f>
        <v>VITAFLO USA LLC</v>
      </c>
      <c r="D169" s="10" t="str">
        <f>T("21674")</f>
        <v>21674</v>
      </c>
      <c r="E169" s="10" t="str">
        <f>T("B4157 OR B4162")</f>
        <v>B4157 OR B4162</v>
      </c>
      <c r="F169" s="10" t="str">
        <f>T("12/01/2017")</f>
        <v>12/01/2017</v>
      </c>
      <c r="G169" s="10" t="str">
        <f t="shared" si="34"/>
        <v/>
      </c>
      <c r="H169" s="10" t="str">
        <f>T("ADD THE BO MODIFIER TO THE HCPCS CODE IF THE ENTERAL NUTRITION IS BEING ADMINISTERED ORALLY AND IS NOT BEING ADMINISTERED BY A FEEDING TUBE")</f>
        <v>ADD THE BO MODIFIER TO THE HCPCS CODE IF THE ENTERAL NUTRITION IS BEING ADMINISTERED ORALLY AND IS NOT BEING ADMINISTERED BY A FEEDING TUBE</v>
      </c>
    </row>
    <row r="170" spans="1:8" ht="13.5" customHeight="1" x14ac:dyDescent="0.2">
      <c r="A170" s="9" t="s">
        <v>9</v>
      </c>
      <c r="B170" s="10" t="str">
        <f>T("PKU AIR15 YELLOW")</f>
        <v>PKU AIR15 YELLOW</v>
      </c>
      <c r="C170" s="10" t="str">
        <f>T("VITAFLO USA LLC")</f>
        <v>VITAFLO USA LLC</v>
      </c>
      <c r="D170" s="10" t="str">
        <f>T("21681")</f>
        <v>21681</v>
      </c>
      <c r="E170" s="10" t="str">
        <f>T("B4157 OR B4162")</f>
        <v>B4157 OR B4162</v>
      </c>
      <c r="F170" s="10" t="str">
        <f>T("12/01/2017")</f>
        <v>12/01/2017</v>
      </c>
      <c r="G170" s="10" t="str">
        <f t="shared" si="34"/>
        <v/>
      </c>
      <c r="H170" s="10" t="str">
        <f>T("ADD THE BO MODIFIER TO THE HCPCS CODE IF THE ENTERAL NUTRITION IS BEING ADMINISTERED ORALLY AND IS NOT BEING ADMINISTERED BY A FEEDING TUBE")</f>
        <v>ADD THE BO MODIFIER TO THE HCPCS CODE IF THE ENTERAL NUTRITION IS BEING ADMINISTERED ORALLY AND IS NOT BEING ADMINISTERED BY A FEEDING TUBE</v>
      </c>
    </row>
    <row r="171" spans="1:8" ht="13.5" customHeight="1" x14ac:dyDescent="0.2">
      <c r="A171" s="9" t="s">
        <v>9</v>
      </c>
      <c r="B171" s="10" t="str">
        <f>T("ENFAMIL PREMIUM NEWBORN")</f>
        <v>ENFAMIL PREMIUM NEWBORN</v>
      </c>
      <c r="C171" s="10" t="str">
        <f>T("MEAD JOHNSON &amp; COMPANY LLC")</f>
        <v>MEAD JOHNSON &amp; COMPANY LLC</v>
      </c>
      <c r="D171" s="10" t="str">
        <f>T("30087165741")</f>
        <v>30087165741</v>
      </c>
      <c r="E171" s="10" t="str">
        <f>T("B4158")</f>
        <v>B4158</v>
      </c>
      <c r="F171" s="10" t="str">
        <f>T("12/18/2017")</f>
        <v>12/18/2017</v>
      </c>
      <c r="G171" s="10" t="str">
        <f t="shared" si="34"/>
        <v/>
      </c>
      <c r="H171" s="10" t="str">
        <f t="shared" ref="H171:H179" si="35">T("")</f>
        <v/>
      </c>
    </row>
    <row r="172" spans="1:8" ht="13.5" customHeight="1" x14ac:dyDescent="0.2">
      <c r="A172" s="9" t="s">
        <v>9</v>
      </c>
      <c r="B172" s="10" t="str">
        <f>T("ENFAMIL PREMIUM NEWBORN")</f>
        <v>ENFAMIL PREMIUM NEWBORN</v>
      </c>
      <c r="C172" s="10" t="str">
        <f>T("MEAD JOHNSON &amp; COMPANY LLC")</f>
        <v>MEAD JOHNSON &amp; COMPANY LLC</v>
      </c>
      <c r="D172" s="10" t="str">
        <f>T("300871466456")</f>
        <v>300871466456</v>
      </c>
      <c r="E172" s="10" t="str">
        <f>T("B4158")</f>
        <v>B4158</v>
      </c>
      <c r="F172" s="10" t="str">
        <f>T("12/18/2017")</f>
        <v>12/18/2017</v>
      </c>
      <c r="G172" s="10" t="str">
        <f t="shared" si="34"/>
        <v/>
      </c>
      <c r="H172" s="10" t="str">
        <f t="shared" si="35"/>
        <v/>
      </c>
    </row>
    <row r="173" spans="1:8" ht="13.5" customHeight="1" x14ac:dyDescent="0.2">
      <c r="A173" s="9" t="s">
        <v>9</v>
      </c>
      <c r="B173" s="10" t="str">
        <f>T("DYNAMO SWING - LARGE")</f>
        <v>DYNAMO SWING - LARGE</v>
      </c>
      <c r="C173" s="10" t="str">
        <f>T("DYNAMD")</f>
        <v>DYNAMD</v>
      </c>
      <c r="D173" s="10" t="str">
        <f>T("DMS1-001")</f>
        <v>DMS1-001</v>
      </c>
      <c r="E173" s="10" t="str">
        <f>T("E0114 OR E0116")</f>
        <v>E0114 OR E0116</v>
      </c>
      <c r="F173" s="10" t="str">
        <f>T("12/29/2017")</f>
        <v>12/29/2017</v>
      </c>
      <c r="G173" s="10" t="str">
        <f t="shared" si="34"/>
        <v/>
      </c>
      <c r="H173" s="10" t="str">
        <f t="shared" si="35"/>
        <v/>
      </c>
    </row>
    <row r="174" spans="1:8" ht="13.5" customHeight="1" x14ac:dyDescent="0.2">
      <c r="A174" s="9" t="s">
        <v>9</v>
      </c>
      <c r="B174" s="10" t="str">
        <f>T("DYNAMO SWING - SMALL")</f>
        <v>DYNAMO SWING - SMALL</v>
      </c>
      <c r="C174" s="10" t="str">
        <f>T("DYNAMD")</f>
        <v>DYNAMD</v>
      </c>
      <c r="D174" s="10" t="str">
        <f>T("DMS1-002")</f>
        <v>DMS1-002</v>
      </c>
      <c r="E174" s="10" t="str">
        <f>T("E0114 OR E0116")</f>
        <v>E0114 OR E0116</v>
      </c>
      <c r="F174" s="10" t="str">
        <f>T("12/29/2017")</f>
        <v>12/29/2017</v>
      </c>
      <c r="G174" s="10" t="str">
        <f t="shared" si="34"/>
        <v/>
      </c>
      <c r="H174" s="10" t="str">
        <f t="shared" si="35"/>
        <v/>
      </c>
    </row>
    <row r="175" spans="1:8" ht="13.5" customHeight="1" x14ac:dyDescent="0.2">
      <c r="A175" s="9" t="s">
        <v>9</v>
      </c>
      <c r="B175" s="10" t="str">
        <f>T("DYNAMO VERSA")</f>
        <v>DYNAMO VERSA</v>
      </c>
      <c r="C175" s="10" t="str">
        <f>T("DYNAMD")</f>
        <v>DYNAMD</v>
      </c>
      <c r="D175" s="10" t="str">
        <f>T("DMV1-001")</f>
        <v>DMV1-001</v>
      </c>
      <c r="E175" s="10" t="str">
        <f>T("E0114 OR E0116")</f>
        <v>E0114 OR E0116</v>
      </c>
      <c r="F175" s="10" t="str">
        <f>T("12/29/2017")</f>
        <v>12/29/2017</v>
      </c>
      <c r="G175" s="10" t="str">
        <f t="shared" si="34"/>
        <v/>
      </c>
      <c r="H175" s="10" t="str">
        <f t="shared" si="35"/>
        <v/>
      </c>
    </row>
    <row r="176" spans="1:8" ht="13.5" customHeight="1" x14ac:dyDescent="0.2">
      <c r="A176" s="9" t="s">
        <v>9</v>
      </c>
      <c r="B176" s="10" t="str">
        <f>T("BARIATRIC WALKER WITH TWO FRONT WHEELS")</f>
        <v>BARIATRIC WALKER WITH TWO FRONT WHEELS</v>
      </c>
      <c r="C176" s="10" t="str">
        <f>T("DYNAREX CORP")</f>
        <v>DYNAREX CORP</v>
      </c>
      <c r="D176" s="10" t="str">
        <f>T("10166")</f>
        <v>10166</v>
      </c>
      <c r="E176" s="10" t="str">
        <f>T("E0148")</f>
        <v>E0148</v>
      </c>
      <c r="F176" s="10" t="str">
        <f>T("12/18/2017")</f>
        <v>12/18/2017</v>
      </c>
      <c r="G176" s="10" t="str">
        <f t="shared" si="34"/>
        <v/>
      </c>
      <c r="H176" s="10" t="str">
        <f t="shared" si="35"/>
        <v/>
      </c>
    </row>
    <row r="177" spans="1:8" ht="13.5" customHeight="1" x14ac:dyDescent="0.2">
      <c r="A177" s="9" t="s">
        <v>9</v>
      </c>
      <c r="B177" s="10" t="str">
        <f>T("BARIATRIC WALKER")</f>
        <v>BARIATRIC WALKER</v>
      </c>
      <c r="C177" s="10" t="str">
        <f>T("DYNAREX CORP")</f>
        <v>DYNAREX CORP</v>
      </c>
      <c r="D177" s="10" t="str">
        <f>T("10165")</f>
        <v>10165</v>
      </c>
      <c r="E177" s="10" t="str">
        <f>T("E0149")</f>
        <v>E0149</v>
      </c>
      <c r="F177" s="10" t="str">
        <f>T("12/18/2017")</f>
        <v>12/18/2017</v>
      </c>
      <c r="G177" s="10" t="str">
        <f t="shared" si="34"/>
        <v/>
      </c>
      <c r="H177" s="10" t="str">
        <f t="shared" si="35"/>
        <v/>
      </c>
    </row>
    <row r="178" spans="1:8" ht="13.5" customHeight="1" x14ac:dyDescent="0.2">
      <c r="A178" s="9" t="s">
        <v>9</v>
      </c>
      <c r="B178" s="10" t="str">
        <f>T("ALUMINUM BATH BENCH WITH BACK")</f>
        <v>ALUMINUM BATH BENCH WITH BACK</v>
      </c>
      <c r="C178" s="10" t="str">
        <f t="shared" ref="C178:C190" si="36">T("MEDLINE INDUSTRIES INC")</f>
        <v>MEDLINE INDUSTRIES INC</v>
      </c>
      <c r="D178" s="10" t="str">
        <f>T("MDS89745R")</f>
        <v>MDS89745R</v>
      </c>
      <c r="E178" s="10" t="str">
        <f>T("E0240")</f>
        <v>E0240</v>
      </c>
      <c r="F178" s="10" t="str">
        <f>T("12/29/2017")</f>
        <v>12/29/2017</v>
      </c>
      <c r="G178" s="10" t="str">
        <f t="shared" si="34"/>
        <v/>
      </c>
      <c r="H178" s="10" t="str">
        <f t="shared" si="35"/>
        <v/>
      </c>
    </row>
    <row r="179" spans="1:8" ht="13.5" customHeight="1" x14ac:dyDescent="0.2">
      <c r="A179" s="9" t="s">
        <v>9</v>
      </c>
      <c r="B179" s="10" t="str">
        <f>T("ALUMINUM BATH BENCH WITH BACK")</f>
        <v>ALUMINUM BATH BENCH WITH BACK</v>
      </c>
      <c r="C179" s="10" t="str">
        <f t="shared" si="36"/>
        <v>MEDLINE INDUSTRIES INC</v>
      </c>
      <c r="D179" s="10" t="str">
        <f>T("MDS89745A")</f>
        <v>MDS89745A</v>
      </c>
      <c r="E179" s="10" t="str">
        <f>T("E0240")</f>
        <v>E0240</v>
      </c>
      <c r="F179" s="10" t="str">
        <f>T("12/29/2017")</f>
        <v>12/29/2017</v>
      </c>
      <c r="G179" s="10" t="str">
        <f t="shared" si="34"/>
        <v/>
      </c>
      <c r="H179" s="10" t="str">
        <f t="shared" si="35"/>
        <v/>
      </c>
    </row>
    <row r="180" spans="1:8" ht="13.5" customHeight="1" x14ac:dyDescent="0.2">
      <c r="A180" s="9" t="s">
        <v>10</v>
      </c>
      <c r="B180" s="5" t="str">
        <f>T("BATH BENCHES")</f>
        <v>BATH BENCHES</v>
      </c>
      <c r="C180" s="5" t="str">
        <f t="shared" si="36"/>
        <v>MEDLINE INDUSTRIES INC</v>
      </c>
      <c r="D180" s="5" t="str">
        <f>T("MDS89745R")</f>
        <v>MDS89745R</v>
      </c>
      <c r="E180" s="5" t="str">
        <f>T("E0245")</f>
        <v>E0245</v>
      </c>
      <c r="F180" s="5" t="str">
        <f>T("06/09/2005")</f>
        <v>06/09/2005</v>
      </c>
      <c r="G180" s="5" t="str">
        <f>T("12/28/2017")</f>
        <v>12/28/2017</v>
      </c>
      <c r="H180" s="5"/>
    </row>
    <row r="181" spans="1:8" ht="13.5" customHeight="1" x14ac:dyDescent="0.2">
      <c r="A181" s="9" t="s">
        <v>10</v>
      </c>
      <c r="B181" s="5" t="str">
        <f>T("BATH BENCHES")</f>
        <v>BATH BENCHES</v>
      </c>
      <c r="C181" s="5" t="str">
        <f t="shared" si="36"/>
        <v>MEDLINE INDUSTRIES INC</v>
      </c>
      <c r="D181" s="5" t="str">
        <f>T("MDS89745A")</f>
        <v>MDS89745A</v>
      </c>
      <c r="E181" s="5" t="str">
        <f>T("E0245")</f>
        <v>E0245</v>
      </c>
      <c r="F181" s="5" t="str">
        <f>T("06/09/2005")</f>
        <v>06/09/2005</v>
      </c>
      <c r="G181" s="5" t="str">
        <f>T("12/28/2017")</f>
        <v>12/28/2017</v>
      </c>
      <c r="H181" s="5"/>
    </row>
    <row r="182" spans="1:8" ht="13.5" customHeight="1" x14ac:dyDescent="0.2">
      <c r="A182" s="9" t="s">
        <v>9</v>
      </c>
      <c r="B182" s="10" t="str">
        <f>T("TRANSFER BENCH WITH COMMODE OPENING")</f>
        <v>TRANSFER BENCH WITH COMMODE OPENING</v>
      </c>
      <c r="C182" s="10" t="str">
        <f t="shared" si="36"/>
        <v>MEDLINE INDUSTRIES INC</v>
      </c>
      <c r="D182" s="10" t="str">
        <f>T("G98013KD")</f>
        <v>G98013KD</v>
      </c>
      <c r="E182" s="10" t="str">
        <f t="shared" ref="E182:E190" si="37">T("E0247")</f>
        <v>E0247</v>
      </c>
      <c r="F182" s="10" t="str">
        <f t="shared" ref="F182:F190" si="38">T("12/29/2017")</f>
        <v>12/29/2017</v>
      </c>
      <c r="G182" s="10" t="str">
        <f t="shared" ref="G182:H195" si="39">T("")</f>
        <v/>
      </c>
      <c r="H182" s="10" t="str">
        <f t="shared" si="39"/>
        <v/>
      </c>
    </row>
    <row r="183" spans="1:8" ht="13.5" customHeight="1" x14ac:dyDescent="0.2">
      <c r="A183" s="9" t="s">
        <v>9</v>
      </c>
      <c r="B183" s="10" t="str">
        <f>T("TRANSFER BENCH")</f>
        <v>TRANSFER BENCH</v>
      </c>
      <c r="C183" s="10" t="str">
        <f t="shared" si="36"/>
        <v>MEDLINE INDUSTRIES INC</v>
      </c>
      <c r="D183" s="10" t="str">
        <f>T("G98338MF")</f>
        <v>G98338MF</v>
      </c>
      <c r="E183" s="10" t="str">
        <f t="shared" si="37"/>
        <v>E0247</v>
      </c>
      <c r="F183" s="10" t="str">
        <f t="shared" si="38"/>
        <v>12/29/2017</v>
      </c>
      <c r="G183" s="10" t="str">
        <f t="shared" si="39"/>
        <v/>
      </c>
      <c r="H183" s="10" t="str">
        <f t="shared" si="39"/>
        <v/>
      </c>
    </row>
    <row r="184" spans="1:8" ht="13.5" customHeight="1" x14ac:dyDescent="0.2">
      <c r="A184" s="9" t="s">
        <v>9</v>
      </c>
      <c r="B184" s="10" t="str">
        <f>T("TRANSFER BENCH")</f>
        <v>TRANSFER BENCH</v>
      </c>
      <c r="C184" s="10" t="str">
        <f t="shared" si="36"/>
        <v>MEDLINE INDUSTRIES INC</v>
      </c>
      <c r="D184" s="10" t="str">
        <f>T("G98308AM")</f>
        <v>G98308AM</v>
      </c>
      <c r="E184" s="10" t="str">
        <f t="shared" si="37"/>
        <v>E0247</v>
      </c>
      <c r="F184" s="10" t="str">
        <f t="shared" si="38"/>
        <v>12/29/2017</v>
      </c>
      <c r="G184" s="10" t="str">
        <f t="shared" si="39"/>
        <v/>
      </c>
      <c r="H184" s="10" t="str">
        <f t="shared" si="39"/>
        <v/>
      </c>
    </row>
    <row r="185" spans="1:8" ht="13.5" customHeight="1" x14ac:dyDescent="0.2">
      <c r="A185" s="9" t="s">
        <v>9</v>
      </c>
      <c r="B185" s="10" t="str">
        <f>T("TRANSFER BENCH")</f>
        <v>TRANSFER BENCH</v>
      </c>
      <c r="C185" s="10" t="str">
        <f t="shared" si="36"/>
        <v>MEDLINE INDUSTRIES INC</v>
      </c>
      <c r="D185" s="10" t="str">
        <f>T("MDS86960ELMB")</f>
        <v>MDS86960ELMB</v>
      </c>
      <c r="E185" s="10" t="str">
        <f t="shared" si="37"/>
        <v>E0247</v>
      </c>
      <c r="F185" s="10" t="str">
        <f t="shared" si="38"/>
        <v>12/29/2017</v>
      </c>
      <c r="G185" s="10" t="str">
        <f t="shared" si="39"/>
        <v/>
      </c>
      <c r="H185" s="10" t="str">
        <f t="shared" si="39"/>
        <v/>
      </c>
    </row>
    <row r="186" spans="1:8" ht="13.5" customHeight="1" x14ac:dyDescent="0.2">
      <c r="A186" s="9" t="s">
        <v>9</v>
      </c>
      <c r="B186" s="10" t="str">
        <f>T("TRANSFER BENCH")</f>
        <v>TRANSFER BENCH</v>
      </c>
      <c r="C186" s="10" t="str">
        <f t="shared" si="36"/>
        <v>MEDLINE INDUSTRIES INC</v>
      </c>
      <c r="D186" s="10" t="str">
        <f>T("MDS86960ELMBC")</f>
        <v>MDS86960ELMBC</v>
      </c>
      <c r="E186" s="10" t="str">
        <f t="shared" si="37"/>
        <v>E0247</v>
      </c>
      <c r="F186" s="10" t="str">
        <f t="shared" si="38"/>
        <v>12/29/2017</v>
      </c>
      <c r="G186" s="10" t="str">
        <f t="shared" si="39"/>
        <v/>
      </c>
      <c r="H186" s="10" t="str">
        <f t="shared" si="39"/>
        <v/>
      </c>
    </row>
    <row r="187" spans="1:8" ht="13.5" customHeight="1" x14ac:dyDescent="0.2">
      <c r="A187" s="9" t="s">
        <v>9</v>
      </c>
      <c r="B187" s="10" t="str">
        <f>T("KNOCKDOWN TRANSFER BENCH")</f>
        <v>KNOCKDOWN TRANSFER BENCH</v>
      </c>
      <c r="C187" s="10" t="str">
        <f t="shared" si="36"/>
        <v>MEDLINE INDUSTRIES INC</v>
      </c>
      <c r="D187" s="10" t="str">
        <f>T("MDS86960KDMB")</f>
        <v>MDS86960KDMB</v>
      </c>
      <c r="E187" s="10" t="str">
        <f t="shared" si="37"/>
        <v>E0247</v>
      </c>
      <c r="F187" s="10" t="str">
        <f t="shared" si="38"/>
        <v>12/29/2017</v>
      </c>
      <c r="G187" s="10" t="str">
        <f t="shared" si="39"/>
        <v/>
      </c>
      <c r="H187" s="10" t="str">
        <f t="shared" si="39"/>
        <v/>
      </c>
    </row>
    <row r="188" spans="1:8" ht="13.5" customHeight="1" x14ac:dyDescent="0.2">
      <c r="A188" s="9" t="s">
        <v>9</v>
      </c>
      <c r="B188" s="10" t="str">
        <f>T("KNOCKDOWN TRANSFER BENCH")</f>
        <v>KNOCKDOWN TRANSFER BENCH</v>
      </c>
      <c r="C188" s="10" t="str">
        <f t="shared" si="36"/>
        <v>MEDLINE INDUSTRIES INC</v>
      </c>
      <c r="D188" s="10" t="str">
        <f>T("MDS86960KDMBC")</f>
        <v>MDS86960KDMBC</v>
      </c>
      <c r="E188" s="10" t="str">
        <f t="shared" si="37"/>
        <v>E0247</v>
      </c>
      <c r="F188" s="10" t="str">
        <f t="shared" si="38"/>
        <v>12/29/2017</v>
      </c>
      <c r="G188" s="10" t="str">
        <f t="shared" si="39"/>
        <v/>
      </c>
      <c r="H188" s="10" t="str">
        <f t="shared" si="39"/>
        <v/>
      </c>
    </row>
    <row r="189" spans="1:8" ht="13.5" customHeight="1" x14ac:dyDescent="0.2">
      <c r="A189" s="9" t="s">
        <v>9</v>
      </c>
      <c r="B189" s="10" t="str">
        <f>T("KNOCKDOWN TRANSFER BENCH")</f>
        <v>KNOCKDOWN TRANSFER BENCH</v>
      </c>
      <c r="C189" s="10" t="str">
        <f t="shared" si="36"/>
        <v>MEDLINE INDUSTRIES INC</v>
      </c>
      <c r="D189" s="10" t="str">
        <f>T("MDS86960KD")</f>
        <v>MDS86960KD</v>
      </c>
      <c r="E189" s="10" t="str">
        <f t="shared" si="37"/>
        <v>E0247</v>
      </c>
      <c r="F189" s="10" t="str">
        <f t="shared" si="38"/>
        <v>12/29/2017</v>
      </c>
      <c r="G189" s="10" t="str">
        <f t="shared" si="39"/>
        <v/>
      </c>
      <c r="H189" s="10" t="str">
        <f t="shared" si="39"/>
        <v/>
      </c>
    </row>
    <row r="190" spans="1:8" ht="13.5" customHeight="1" x14ac:dyDescent="0.2">
      <c r="A190" s="9" t="s">
        <v>9</v>
      </c>
      <c r="B190" s="10" t="str">
        <f>T("KNOCKDOWN TRANSFER BENCH")</f>
        <v>KNOCKDOWN TRANSFER BENCH</v>
      </c>
      <c r="C190" s="10" t="str">
        <f t="shared" si="36"/>
        <v>MEDLINE INDUSTRIES INC</v>
      </c>
      <c r="D190" s="10" t="str">
        <f>T("MDS86960KDE")</f>
        <v>MDS86960KDE</v>
      </c>
      <c r="E190" s="10" t="str">
        <f t="shared" si="37"/>
        <v>E0247</v>
      </c>
      <c r="F190" s="10" t="str">
        <f t="shared" si="38"/>
        <v>12/29/2017</v>
      </c>
      <c r="G190" s="10" t="str">
        <f t="shared" si="39"/>
        <v/>
      </c>
      <c r="H190" s="10" t="str">
        <f t="shared" si="39"/>
        <v/>
      </c>
    </row>
    <row r="191" spans="1:8" ht="13.5" customHeight="1" x14ac:dyDescent="0.2">
      <c r="A191" s="9" t="s">
        <v>9</v>
      </c>
      <c r="B191" s="10" t="str">
        <f>T("LUMEX SELECT LS200")</f>
        <v>LUMEX SELECT LS200</v>
      </c>
      <c r="C191" s="10" t="str">
        <f>T("GF HEALTH PRODUCTS INC")</f>
        <v>GF HEALTH PRODUCTS INC</v>
      </c>
      <c r="D191" s="10" t="str">
        <f>T("LS200")</f>
        <v>LS200</v>
      </c>
      <c r="E191" s="10" t="str">
        <f>T("E0277")</f>
        <v>E0277</v>
      </c>
      <c r="F191" s="10" t="str">
        <f>T("12/27/2017")</f>
        <v>12/27/2017</v>
      </c>
      <c r="G191" s="10" t="str">
        <f t="shared" si="39"/>
        <v/>
      </c>
      <c r="H191" s="10" t="str">
        <f t="shared" si="39"/>
        <v/>
      </c>
    </row>
    <row r="192" spans="1:8" ht="13.5" customHeight="1" x14ac:dyDescent="0.2">
      <c r="A192" s="9" t="s">
        <v>9</v>
      </c>
      <c r="B192" s="10" t="str">
        <f>T("LUMEX SELECT LS300")</f>
        <v>LUMEX SELECT LS300</v>
      </c>
      <c r="C192" s="10" t="str">
        <f>T("GF HEALTH PRODUCTS INC")</f>
        <v>GF HEALTH PRODUCTS INC</v>
      </c>
      <c r="D192" s="10" t="str">
        <f>T("LS300")</f>
        <v>LS300</v>
      </c>
      <c r="E192" s="10" t="str">
        <f>T("E0277")</f>
        <v>E0277</v>
      </c>
      <c r="F192" s="10" t="str">
        <f>T("12/27/2017")</f>
        <v>12/27/2017</v>
      </c>
      <c r="G192" s="10" t="str">
        <f t="shared" si="39"/>
        <v/>
      </c>
      <c r="H192" s="10" t="str">
        <f t="shared" si="39"/>
        <v/>
      </c>
    </row>
    <row r="193" spans="1:8" ht="13.5" customHeight="1" x14ac:dyDescent="0.2">
      <c r="A193" s="9" t="s">
        <v>9</v>
      </c>
      <c r="B193" s="10" t="str">
        <f>T("FEMALE URINAL")</f>
        <v>FEMALE URINAL</v>
      </c>
      <c r="C193" s="10" t="str">
        <f>T("MEDLINE INDUSTRIES INC")</f>
        <v>MEDLINE INDUSTRIES INC</v>
      </c>
      <c r="D193" s="10" t="str">
        <f>T("G901-PC")</f>
        <v>G901-PC</v>
      </c>
      <c r="E193" s="10" t="str">
        <f>T("E0326")</f>
        <v>E0326</v>
      </c>
      <c r="F193" s="10" t="str">
        <f>T("12/21/2017")</f>
        <v>12/21/2017</v>
      </c>
      <c r="G193" s="10" t="str">
        <f t="shared" si="39"/>
        <v/>
      </c>
      <c r="H193" s="10" t="str">
        <f t="shared" si="39"/>
        <v/>
      </c>
    </row>
    <row r="194" spans="1:8" ht="13.5" customHeight="1" x14ac:dyDescent="0.2">
      <c r="A194" s="9" t="s">
        <v>9</v>
      </c>
      <c r="B194" s="10" t="str">
        <f>T("FEMALE URINAL")</f>
        <v>FEMALE URINAL</v>
      </c>
      <c r="C194" s="10" t="str">
        <f>T("MEDLINE INDUSTRIES INC")</f>
        <v>MEDLINE INDUSTRIES INC</v>
      </c>
      <c r="D194" s="10" t="str">
        <f>T("MDS901PC")</f>
        <v>MDS901PC</v>
      </c>
      <c r="E194" s="10" t="str">
        <f>T("E0326")</f>
        <v>E0326</v>
      </c>
      <c r="F194" s="10" t="str">
        <f>T("12/21/2017")</f>
        <v>12/21/2017</v>
      </c>
      <c r="G194" s="10" t="str">
        <f t="shared" si="39"/>
        <v/>
      </c>
      <c r="H194" s="10" t="str">
        <f t="shared" si="39"/>
        <v/>
      </c>
    </row>
    <row r="195" spans="1:8" ht="13.5" customHeight="1" x14ac:dyDescent="0.2">
      <c r="A195" s="9" t="s">
        <v>9</v>
      </c>
      <c r="B195" s="10" t="str">
        <f>T("MONARCH AIRWAY CLEARANCE SYSTEM")</f>
        <v>MONARCH AIRWAY CLEARANCE SYSTEM</v>
      </c>
      <c r="C195" s="10" t="str">
        <f>T("HILL-ROM INC")</f>
        <v>HILL-ROM INC</v>
      </c>
      <c r="D195" s="10" t="str">
        <f>T("1000")</f>
        <v>1000</v>
      </c>
      <c r="E195" s="10" t="str">
        <f>T("E0483")</f>
        <v>E0483</v>
      </c>
      <c r="F195" s="10" t="str">
        <f>T("12/04/2017")</f>
        <v>12/04/2017</v>
      </c>
      <c r="G195" s="10" t="str">
        <f t="shared" si="39"/>
        <v/>
      </c>
      <c r="H195" s="10" t="str">
        <f t="shared" si="39"/>
        <v/>
      </c>
    </row>
    <row r="196" spans="1:8" ht="13.5" customHeight="1" x14ac:dyDescent="0.2">
      <c r="A196" s="9" t="s">
        <v>9</v>
      </c>
      <c r="B196" s="10" t="str">
        <f>T("HEADREST")</f>
        <v>HEADREST</v>
      </c>
      <c r="C196" s="10" t="str">
        <f>T("MEDIFAB LIMITED")</f>
        <v>MEDIFAB LIMITED</v>
      </c>
      <c r="D196" s="10" t="str">
        <f>T("1270-XXXX-YYY")</f>
        <v>1270-XXXX-YYY</v>
      </c>
      <c r="E196" s="10" t="str">
        <f>T("E0955")</f>
        <v>E0955</v>
      </c>
      <c r="F196" s="10" t="str">
        <f>T("12/05/2017")</f>
        <v>12/05/2017</v>
      </c>
      <c r="G196" s="10" t="str">
        <f>T("")</f>
        <v/>
      </c>
      <c r="H196" s="10" t="str">
        <f>T("THE XXXX AND YYY WITHIN THE MODEL NUMBER ARE PLACEHOLDERS FOR PAD HEIGHT/DEPTH (XXXX) AND HARDWARE (YYY).")</f>
        <v>THE XXXX AND YYY WITHIN THE MODEL NUMBER ARE PLACEHOLDERS FOR PAD HEIGHT/DEPTH (XXXX) AND HARDWARE (YYY).</v>
      </c>
    </row>
    <row r="197" spans="1:8" ht="13.5" customHeight="1" x14ac:dyDescent="0.2">
      <c r="A197" s="9" t="s">
        <v>9</v>
      </c>
      <c r="B197" s="10" t="str">
        <f>T("LATERAL TRUNK SUPPORT / THIGH SUPPORT")</f>
        <v>LATERAL TRUNK SUPPORT / THIGH SUPPORT</v>
      </c>
      <c r="C197" s="10" t="str">
        <f>T("MEDIFAB LIMITED")</f>
        <v>MEDIFAB LIMITED</v>
      </c>
      <c r="D197" s="10" t="str">
        <f>T("1266-XXXX-YYY")</f>
        <v>1266-XXXX-YYY</v>
      </c>
      <c r="E197" s="10" t="str">
        <f>T("E0956")</f>
        <v>E0956</v>
      </c>
      <c r="F197" s="10" t="str">
        <f>T("12/04/2017")</f>
        <v>12/04/2017</v>
      </c>
      <c r="G197" s="10" t="str">
        <f>T("")</f>
        <v/>
      </c>
      <c r="H197" s="10" t="str">
        <f>T("THE XXXX AND YYY WITHIN THE MODEL NUMBER ARE PLACEHOLDERS FOR PAD HEIGHT/DEPTH (XXXX) AND HARDWARE (YYY).")</f>
        <v>THE XXXX AND YYY WITHIN THE MODEL NUMBER ARE PLACEHOLDERS FOR PAD HEIGHT/DEPTH (XXXX) AND HARDWARE (YYY).</v>
      </c>
    </row>
    <row r="198" spans="1:8" ht="13.5" customHeight="1" x14ac:dyDescent="0.2">
      <c r="A198" s="9" t="s">
        <v>9</v>
      </c>
      <c r="B198" s="10" t="str">
        <f>T("MEDIAL SUPPORT")</f>
        <v>MEDIAL SUPPORT</v>
      </c>
      <c r="C198" s="10" t="str">
        <f>T("MEDIFAB LIMITED")</f>
        <v>MEDIFAB LIMITED</v>
      </c>
      <c r="D198" s="10" t="str">
        <f>T("1162-XXXX-YYY")</f>
        <v>1162-XXXX-YYY</v>
      </c>
      <c r="E198" s="10" t="str">
        <f>T("E0957")</f>
        <v>E0957</v>
      </c>
      <c r="F198" s="10" t="str">
        <f>T("12/04/2017")</f>
        <v>12/04/2017</v>
      </c>
      <c r="G198" s="10" t="str">
        <f>T("")</f>
        <v/>
      </c>
      <c r="H198" s="10" t="str">
        <f>T("THE XXXX AND YYY WITHIN THE MODEL NUMBER ARE PLACEHOLDERS FOR PAD HEIGHT/DEPTH (XXXX) AND HARDWARE (YYY).")</f>
        <v>THE XXXX AND YYY WITHIN THE MODEL NUMBER ARE PLACEHOLDERS FOR PAD HEIGHT/DEPTH (XXXX) AND HARDWARE (YYY).</v>
      </c>
    </row>
    <row r="199" spans="1:8" ht="13.5" customHeight="1" x14ac:dyDescent="0.2">
      <c r="A199" s="9" t="s">
        <v>10</v>
      </c>
      <c r="B199" s="5" t="str">
        <f>T("MONARCH AIRWAY CLEARANCE SYSTEM")</f>
        <v>MONARCH AIRWAY CLEARANCE SYSTEM</v>
      </c>
      <c r="C199" s="5" t="str">
        <f>T("HILL-ROM INC")</f>
        <v>HILL-ROM INC</v>
      </c>
      <c r="D199" s="5" t="str">
        <f>T("1000")</f>
        <v>1000</v>
      </c>
      <c r="E199" s="5" t="str">
        <f>T("E1399")</f>
        <v>E1399</v>
      </c>
      <c r="F199" s="5" t="str">
        <f>T("08/14/2017")</f>
        <v>08/14/2017</v>
      </c>
      <c r="G199" s="5" t="str">
        <f>T("12/03/2017")</f>
        <v>12/03/2017</v>
      </c>
      <c r="H199" s="5" t="str">
        <f>T("")</f>
        <v/>
      </c>
    </row>
    <row r="200" spans="1:8" ht="24" x14ac:dyDescent="0.2">
      <c r="A200" s="9" t="s">
        <v>9</v>
      </c>
      <c r="B200" s="10" t="str">
        <f>T("STEALTH SIMPLICITY G CUSHION")</f>
        <v>STEALTH SIMPLICITY G CUSHION</v>
      </c>
      <c r="C200" s="10" t="str">
        <f>T("PRIDE MOBILITY PRODUCTS CORP")</f>
        <v>PRIDE MOBILITY PRODUCTS CORP</v>
      </c>
      <c r="D200" s="10" t="str">
        <f>T("ST-SIMGXXYY")</f>
        <v>ST-SIMGXXYY</v>
      </c>
      <c r="E200" s="10" t="str">
        <f>T("E2601 OR E2602")</f>
        <v>E2601 OR E2602</v>
      </c>
      <c r="F200" s="10" t="str">
        <f>T("12/01/2017")</f>
        <v>12/01/2017</v>
      </c>
      <c r="G200" s="10" t="str">
        <f t="shared" ref="G200:G246" si="40">T("")</f>
        <v/>
      </c>
      <c r="H200" s="10" t="str">
        <f>T("THE XX AND YY WITHIN THE MODEL NUMBER ARE PLACEHOLDERS FOR HEIGHT (XX) AND WIDTH (YY). BILL E2601 FOR CUSHIONS LESS THAN 22"" IN WIDTH, BILL E2602 FOR CUSHIONS 22"" OR GREATER")</f>
        <v>THE XX AND YY WITHIN THE MODEL NUMBER ARE PLACEHOLDERS FOR HEIGHT (XX) AND WIDTH (YY). BILL E2601 FOR CUSHIONS LESS THAN 22" IN WIDTH, BILL E2602 FOR CUSHIONS 22" OR GREATER</v>
      </c>
    </row>
    <row r="201" spans="1:8" ht="13.5" customHeight="1" x14ac:dyDescent="0.2">
      <c r="A201" s="9" t="s">
        <v>9</v>
      </c>
      <c r="B201" s="10" t="str">
        <f>T("SEDENS 500 BATTERY POWERED ALTERNATING 17"" X 17"" SEAT CUSHION AND PUMP")</f>
        <v>SEDENS 500 BATTERY POWERED ALTERNATING 17" X 17" SEAT CUSHION AND PUMP</v>
      </c>
      <c r="C201" s="10" t="str">
        <f>T("APEX MEDICAL CORP")</f>
        <v>APEX MEDICAL CORP</v>
      </c>
      <c r="D201" s="10" t="str">
        <f>T("PD01901")</f>
        <v>PD01901</v>
      </c>
      <c r="E201" s="10" t="str">
        <f>T("E2610")</f>
        <v>E2610</v>
      </c>
      <c r="F201" s="10" t="str">
        <f>T("12/26/2017")</f>
        <v>12/26/2017</v>
      </c>
      <c r="G201" s="10" t="str">
        <f t="shared" si="40"/>
        <v/>
      </c>
      <c r="H201" s="10" t="str">
        <f t="shared" ref="H201:H206" si="41">T("")</f>
        <v/>
      </c>
    </row>
    <row r="202" spans="1:8" ht="13.5" customHeight="1" x14ac:dyDescent="0.2">
      <c r="A202" s="9" t="s">
        <v>9</v>
      </c>
      <c r="B202" s="10" t="str">
        <f>T("VARILITE ZOID SEATING SYSTEM")</f>
        <v>VARILITE ZOID SEATING SYSTEM</v>
      </c>
      <c r="C202" s="10" t="str">
        <f>T("VARILITE (A DIVISION OF CASCADE DESIGNS INC)")</f>
        <v>VARILITE (A DIVISION OF CASCADE DESIGNS INC)</v>
      </c>
      <c r="D202" s="10" t="str">
        <f>T("730001")</f>
        <v>730001</v>
      </c>
      <c r="E202" s="10" t="str">
        <f>T("E2622")</f>
        <v>E2622</v>
      </c>
      <c r="F202" s="10" t="str">
        <f>T("12/01/2017")</f>
        <v>12/01/2017</v>
      </c>
      <c r="G202" s="10" t="str">
        <f t="shared" si="40"/>
        <v/>
      </c>
      <c r="H202" s="10" t="str">
        <f t="shared" si="41"/>
        <v/>
      </c>
    </row>
    <row r="203" spans="1:8" ht="13.5" customHeight="1" x14ac:dyDescent="0.2">
      <c r="A203" s="9" t="s">
        <v>9</v>
      </c>
      <c r="B203" s="10" t="str">
        <f>T("FREESTYLE LIBRE FLASH GLUCOSE MONITORING SYSTEM")</f>
        <v>FREESTYLE LIBRE FLASH GLUCOSE MONITORING SYSTEM</v>
      </c>
      <c r="C203" s="10" t="str">
        <f>T("ABBOTT DIABETES CARE INC")</f>
        <v>ABBOTT DIABETES CARE INC</v>
      </c>
      <c r="D203" s="10" t="str">
        <f>T("71525-01")</f>
        <v>71525-01</v>
      </c>
      <c r="E203" s="10" t="str">
        <f>T("K0554")</f>
        <v>K0554</v>
      </c>
      <c r="F203" s="10" t="str">
        <f>T("12/27/2017")</f>
        <v>12/27/2017</v>
      </c>
      <c r="G203" s="10" t="str">
        <f t="shared" si="40"/>
        <v/>
      </c>
      <c r="H203" s="10" t="str">
        <f t="shared" si="41"/>
        <v/>
      </c>
    </row>
    <row r="204" spans="1:8" ht="13.5" customHeight="1" x14ac:dyDescent="0.2">
      <c r="A204" s="9" t="s">
        <v>9</v>
      </c>
      <c r="B204" s="10" t="str">
        <f>T("QUICKIE Q700 M")</f>
        <v>QUICKIE Q700 M</v>
      </c>
      <c r="C204" s="10" t="str">
        <f>T("SUNRISE MEDICAL (US) LLC")</f>
        <v>SUNRISE MEDICAL (US) LLC</v>
      </c>
      <c r="D204" s="10" t="str">
        <f>T("MPC")</f>
        <v>MPC</v>
      </c>
      <c r="E204" s="10" t="str">
        <f>T("K0861")</f>
        <v>K0861</v>
      </c>
      <c r="F204" s="10" t="str">
        <f>T("12/08/2017")</f>
        <v>12/08/2017</v>
      </c>
      <c r="G204" s="10" t="str">
        <f t="shared" si="40"/>
        <v/>
      </c>
      <c r="H204" s="10" t="str">
        <f t="shared" si="41"/>
        <v/>
      </c>
    </row>
    <row r="205" spans="1:8" ht="13.5" customHeight="1" x14ac:dyDescent="0.2">
      <c r="A205" s="9" t="s">
        <v>9</v>
      </c>
      <c r="B205" s="10" t="str">
        <f>T("QUICKIE Q700 M")</f>
        <v>QUICKIE Q700 M</v>
      </c>
      <c r="C205" s="10" t="str">
        <f>T("SUNRISE MEDICAL (US) LLC")</f>
        <v>SUNRISE MEDICAL (US) LLC</v>
      </c>
      <c r="D205" s="10" t="str">
        <f>T("MPC HD")</f>
        <v>MPC HD</v>
      </c>
      <c r="E205" s="10" t="str">
        <f>T("K0862")</f>
        <v>K0862</v>
      </c>
      <c r="F205" s="10" t="str">
        <f>T("12/11/2017")</f>
        <v>12/11/2017</v>
      </c>
      <c r="G205" s="10" t="str">
        <f t="shared" si="40"/>
        <v/>
      </c>
      <c r="H205" s="10" t="str">
        <f t="shared" si="41"/>
        <v/>
      </c>
    </row>
    <row r="206" spans="1:8" ht="13.5" customHeight="1" x14ac:dyDescent="0.2">
      <c r="A206" s="9" t="s">
        <v>9</v>
      </c>
      <c r="B206" s="10" t="str">
        <f>T("QUICKIE Q700 M")</f>
        <v>QUICKIE Q700 M</v>
      </c>
      <c r="C206" s="10" t="str">
        <f>T("SUNRISE MEDICAL (US) LLC")</f>
        <v>SUNRISE MEDICAL (US) LLC</v>
      </c>
      <c r="D206" s="10" t="str">
        <f>T("MPD")</f>
        <v>MPD</v>
      </c>
      <c r="E206" s="10" t="str">
        <f>T("K0884")</f>
        <v>K0884</v>
      </c>
      <c r="F206" s="10" t="str">
        <f>T("12/08/2017")</f>
        <v>12/08/2017</v>
      </c>
      <c r="G206" s="10" t="str">
        <f t="shared" si="40"/>
        <v/>
      </c>
      <c r="H206" s="10" t="str">
        <f t="shared" si="41"/>
        <v/>
      </c>
    </row>
    <row r="207" spans="1:8" ht="13.5" customHeight="1" x14ac:dyDescent="0.2">
      <c r="A207" s="9" t="s">
        <v>9</v>
      </c>
      <c r="B207" s="10" t="str">
        <f>T("OSTEOMED ACUTE")</f>
        <v>OSTEOMED ACUTE</v>
      </c>
      <c r="C207" s="10" t="str">
        <f>T("TOWNSEND DESIGN")</f>
        <v>TOWNSEND DESIGN</v>
      </c>
      <c r="D207" s="10" t="str">
        <f>T("U5120199999999")</f>
        <v>U5120199999999</v>
      </c>
      <c r="E207" s="10" t="str">
        <f>T("L0454 OR L0455 OR A9270")</f>
        <v>L0454 OR L0455 OR A9270</v>
      </c>
      <c r="F207" s="10" t="str">
        <f>T("12/26/2017")</f>
        <v>12/26/2017</v>
      </c>
      <c r="G207" s="10" t="str">
        <f t="shared" si="40"/>
        <v/>
      </c>
      <c r="H207" s="10" t="str">
        <f>T("USE L0454 OR L0455 IF THE POSTERIOR PANEL IS PROVIDED. USE A9270 IF THE POSTERIOR PANEL IS NOT PROVIDED.")</f>
        <v>USE L0454 OR L0455 IF THE POSTERIOR PANEL IS PROVIDED. USE A9270 IF THE POSTERIOR PANEL IS NOT PROVIDED.</v>
      </c>
    </row>
    <row r="208" spans="1:8" ht="13.5" customHeight="1" x14ac:dyDescent="0.2">
      <c r="A208" s="9" t="s">
        <v>9</v>
      </c>
      <c r="B208" s="10" t="str">
        <f>T("THE MIRACLE BACK (TLSO) FROM DOCTOR IN THE HOUSE")</f>
        <v>THE MIRACLE BACK (TLSO) FROM DOCTOR IN THE HOUSE</v>
      </c>
      <c r="C208" s="10" t="str">
        <f>T("DOCTOR IN THE HOUSE")</f>
        <v>DOCTOR IN THE HOUSE</v>
      </c>
      <c r="D208" s="10" t="str">
        <f>T("MB100")</f>
        <v>MB100</v>
      </c>
      <c r="E208" s="10" t="str">
        <f>T("L0628 OR A4467")</f>
        <v>L0628 OR A4467</v>
      </c>
      <c r="F208" s="10" t="str">
        <f>T("12/26/2017")</f>
        <v>12/26/2017</v>
      </c>
      <c r="G208" s="10" t="str">
        <f t="shared" si="40"/>
        <v/>
      </c>
      <c r="H208" s="10" t="str">
        <f>T("USE L0628 ONLY IF POSTERIOR PANEL IS SUPPLIED. USE A4467 IF POSTERIOR PANEL IS NOT SUPPLIED.")</f>
        <v>USE L0628 ONLY IF POSTERIOR PANEL IS SUPPLIED. USE A4467 IF POSTERIOR PANEL IS NOT SUPPLIED.</v>
      </c>
    </row>
    <row r="209" spans="1:8" ht="13.5" customHeight="1" x14ac:dyDescent="0.2">
      <c r="A209" s="9" t="s">
        <v>9</v>
      </c>
      <c r="B209" s="10" t="str">
        <f>T("DUO MEDIAL COMBINED INSTABILITY ATHLETIC")</f>
        <v>DUO MEDIAL COMBINED INSTABILITY ATHLETIC</v>
      </c>
      <c r="C209" s="10" t="str">
        <f>T("BREG INC")</f>
        <v>BREG INC</v>
      </c>
      <c r="D209" s="10" t="str">
        <f>T("ED111YXX-CI")</f>
        <v>ED111YXX-CI</v>
      </c>
      <c r="E209" s="10" t="str">
        <f>T("L1820")</f>
        <v>L1820</v>
      </c>
      <c r="F209" s="10" t="str">
        <f>T("12/22/2017")</f>
        <v>12/22/2017</v>
      </c>
      <c r="G209" s="10" t="str">
        <f t="shared" si="40"/>
        <v/>
      </c>
      <c r="H209" s="10" t="str">
        <f>T("THE XX AND Y WITHIN THE MODEL NUMBER ARE PLACEHOLDERS FOR SIZE (XX) AND RIGHT OR LEFT (Y).")</f>
        <v>THE XX AND Y WITHIN THE MODEL NUMBER ARE PLACEHOLDERS FOR SIZE (XX) AND RIGHT OR LEFT (Y).</v>
      </c>
    </row>
    <row r="210" spans="1:8" ht="13.5" customHeight="1" x14ac:dyDescent="0.2">
      <c r="A210" s="9" t="s">
        <v>9</v>
      </c>
      <c r="B210" s="10" t="str">
        <f>T("DUO MEDIAL COMBINED INSTABILITY")</f>
        <v>DUO MEDIAL COMBINED INSTABILITY</v>
      </c>
      <c r="C210" s="10" t="str">
        <f>T("BREG INC")</f>
        <v>BREG INC</v>
      </c>
      <c r="D210" s="10" t="str">
        <f>T("ED112YXX-CI")</f>
        <v>ED112YXX-CI</v>
      </c>
      <c r="E210" s="10" t="str">
        <f>T("L1820")</f>
        <v>L1820</v>
      </c>
      <c r="F210" s="10" t="str">
        <f>T("12/22/2017")</f>
        <v>12/22/2017</v>
      </c>
      <c r="G210" s="10" t="str">
        <f t="shared" si="40"/>
        <v/>
      </c>
      <c r="H210" s="10" t="str">
        <f>T("THE XX AND Y WITHIN THE MODEL NUMBER ARE PLACEHOLDERS FOR SIZE (XX) AND RIGHT OR LEFT (Y).")</f>
        <v>THE XX AND Y WITHIN THE MODEL NUMBER ARE PLACEHOLDERS FOR SIZE (XX) AND RIGHT OR LEFT (Y).</v>
      </c>
    </row>
    <row r="211" spans="1:8" ht="13.5" customHeight="1" x14ac:dyDescent="0.2">
      <c r="A211" s="9" t="s">
        <v>9</v>
      </c>
      <c r="B211" s="10" t="str">
        <f>T("DUO LATERAL COMBINED INSTABILITY ATHLETIC")</f>
        <v>DUO LATERAL COMBINED INSTABILITY ATHLETIC</v>
      </c>
      <c r="C211" s="10" t="str">
        <f>T("BREG INC")</f>
        <v>BREG INC</v>
      </c>
      <c r="D211" s="10" t="str">
        <f>T("ED113YXX-CI")</f>
        <v>ED113YXX-CI</v>
      </c>
      <c r="E211" s="10" t="str">
        <f>T("L1820")</f>
        <v>L1820</v>
      </c>
      <c r="F211" s="10" t="str">
        <f>T("12/22/2017")</f>
        <v>12/22/2017</v>
      </c>
      <c r="G211" s="10" t="str">
        <f t="shared" si="40"/>
        <v/>
      </c>
      <c r="H211" s="10" t="str">
        <f>T("THE XX AND Y WITHIN THE MODEL NUMBER ARE PLACEHOLDERS FOR SIZE (XX) AND RIGHT OR LEFT (Y).")</f>
        <v>THE XX AND Y WITHIN THE MODEL NUMBER ARE PLACEHOLDERS FOR SIZE (XX) AND RIGHT OR LEFT (Y).</v>
      </c>
    </row>
    <row r="212" spans="1:8" ht="13.5" customHeight="1" x14ac:dyDescent="0.2">
      <c r="A212" s="9" t="s">
        <v>9</v>
      </c>
      <c r="B212" s="10" t="str">
        <f>T("DUO LATERAL COMBINED INSTABILITY")</f>
        <v>DUO LATERAL COMBINED INSTABILITY</v>
      </c>
      <c r="C212" s="10" t="str">
        <f>T("BREG INC")</f>
        <v>BREG INC</v>
      </c>
      <c r="D212" s="10" t="str">
        <f>T("EDD114YXX-CI")</f>
        <v>EDD114YXX-CI</v>
      </c>
      <c r="E212" s="10" t="str">
        <f>T("L1820")</f>
        <v>L1820</v>
      </c>
      <c r="F212" s="10" t="str">
        <f>T("12/22/2017")</f>
        <v>12/22/2017</v>
      </c>
      <c r="G212" s="10" t="str">
        <f t="shared" si="40"/>
        <v/>
      </c>
      <c r="H212" s="10" t="str">
        <f>T("THE XX AND Y WITHIN THE MODEL NUMBER ARE PLACEHOLDERS FOR SIZE (XX) AND RIGHT OR LEFT (Y).")</f>
        <v>THE XX AND Y WITHIN THE MODEL NUMBER ARE PLACEHOLDERS FOR SIZE (XX) AND RIGHT OR LEFT (Y).</v>
      </c>
    </row>
    <row r="213" spans="1:8" ht="13.5" customHeight="1" x14ac:dyDescent="0.2">
      <c r="A213" s="9" t="s">
        <v>9</v>
      </c>
      <c r="B213" s="10" t="str">
        <f>T("DUO MEDIAL COMBINED INSTABILITY ATHLETIC SHORT")</f>
        <v>DUO MEDIAL COMBINED INSTABILITY ATHLETIC SHORT</v>
      </c>
      <c r="C213" s="10" t="str">
        <f>T("BREG INC")</f>
        <v>BREG INC</v>
      </c>
      <c r="D213" s="10" t="str">
        <f>T("ED311YXX-CI")</f>
        <v>ED311YXX-CI</v>
      </c>
      <c r="E213" s="10" t="str">
        <f>T("L1820")</f>
        <v>L1820</v>
      </c>
      <c r="F213" s="10" t="str">
        <f>T("12/22/2017")</f>
        <v>12/22/2017</v>
      </c>
      <c r="G213" s="10" t="str">
        <f t="shared" si="40"/>
        <v/>
      </c>
      <c r="H213" s="10" t="str">
        <f>T("THE XX AND Y WITHIN THE MODEL NUMBER ARE PLACEHOLDERS FOR SIZE (XX) AND RIGHT OR LEFT (Y).")</f>
        <v>THE XX AND Y WITHIN THE MODEL NUMBER ARE PLACEHOLDERS FOR SIZE (XX) AND RIGHT OR LEFT (Y).</v>
      </c>
    </row>
    <row r="214" spans="1:8" ht="13.5" customHeight="1" x14ac:dyDescent="0.2">
      <c r="A214" s="9" t="s">
        <v>9</v>
      </c>
      <c r="B214" s="10" t="str">
        <f t="shared" ref="B214:B221" si="42">T("LEAF SPRING AFO")</f>
        <v>LEAF SPRING AFO</v>
      </c>
      <c r="C214" s="10" t="str">
        <f t="shared" ref="C214:C221" si="43">T("AIR A MED INC")</f>
        <v>AIR A MED INC</v>
      </c>
      <c r="D214" s="10" t="str">
        <f>T("60-7017 (SM-RIGHT)")</f>
        <v>60-7017 (SM-RIGHT)</v>
      </c>
      <c r="E214" s="10" t="str">
        <f t="shared" ref="E214:E221" si="44">T("L1930")</f>
        <v>L1930</v>
      </c>
      <c r="F214" s="10" t="str">
        <f t="shared" ref="F214:F221" si="45">T("12/20/2017")</f>
        <v>12/20/2017</v>
      </c>
      <c r="G214" s="10" t="str">
        <f t="shared" si="40"/>
        <v/>
      </c>
      <c r="H214" s="10" t="str">
        <f t="shared" ref="H214:H246" si="46">T("")</f>
        <v/>
      </c>
    </row>
    <row r="215" spans="1:8" ht="13.5" customHeight="1" x14ac:dyDescent="0.2">
      <c r="A215" s="9" t="s">
        <v>9</v>
      </c>
      <c r="B215" s="10" t="str">
        <f t="shared" si="42"/>
        <v>LEAF SPRING AFO</v>
      </c>
      <c r="C215" s="10" t="str">
        <f t="shared" si="43"/>
        <v>AIR A MED INC</v>
      </c>
      <c r="D215" s="10" t="str">
        <f>T("60-7018 (MED-RIGHT)")</f>
        <v>60-7018 (MED-RIGHT)</v>
      </c>
      <c r="E215" s="10" t="str">
        <f t="shared" si="44"/>
        <v>L1930</v>
      </c>
      <c r="F215" s="10" t="str">
        <f t="shared" si="45"/>
        <v>12/20/2017</v>
      </c>
      <c r="G215" s="10" t="str">
        <f t="shared" si="40"/>
        <v/>
      </c>
      <c r="H215" s="10" t="str">
        <f t="shared" si="46"/>
        <v/>
      </c>
    </row>
    <row r="216" spans="1:8" ht="13.5" customHeight="1" x14ac:dyDescent="0.2">
      <c r="A216" s="9" t="s">
        <v>9</v>
      </c>
      <c r="B216" s="10" t="str">
        <f t="shared" si="42"/>
        <v>LEAF SPRING AFO</v>
      </c>
      <c r="C216" s="10" t="str">
        <f t="shared" si="43"/>
        <v>AIR A MED INC</v>
      </c>
      <c r="D216" s="10" t="str">
        <f>T("60-7019 (LG-RIGHT)")</f>
        <v>60-7019 (LG-RIGHT)</v>
      </c>
      <c r="E216" s="10" t="str">
        <f t="shared" si="44"/>
        <v>L1930</v>
      </c>
      <c r="F216" s="10" t="str">
        <f t="shared" si="45"/>
        <v>12/20/2017</v>
      </c>
      <c r="G216" s="10" t="str">
        <f t="shared" si="40"/>
        <v/>
      </c>
      <c r="H216" s="10" t="str">
        <f t="shared" si="46"/>
        <v/>
      </c>
    </row>
    <row r="217" spans="1:8" ht="13.5" customHeight="1" x14ac:dyDescent="0.2">
      <c r="A217" s="9" t="s">
        <v>9</v>
      </c>
      <c r="B217" s="10" t="str">
        <f t="shared" si="42"/>
        <v>LEAF SPRING AFO</v>
      </c>
      <c r="C217" s="10" t="str">
        <f t="shared" si="43"/>
        <v>AIR A MED INC</v>
      </c>
      <c r="D217" s="10" t="str">
        <f>T("60-7020 (XL-RIGHT)")</f>
        <v>60-7020 (XL-RIGHT)</v>
      </c>
      <c r="E217" s="10" t="str">
        <f t="shared" si="44"/>
        <v>L1930</v>
      </c>
      <c r="F217" s="10" t="str">
        <f t="shared" si="45"/>
        <v>12/20/2017</v>
      </c>
      <c r="G217" s="10" t="str">
        <f t="shared" si="40"/>
        <v/>
      </c>
      <c r="H217" s="10" t="str">
        <f t="shared" si="46"/>
        <v/>
      </c>
    </row>
    <row r="218" spans="1:8" ht="13.5" customHeight="1" x14ac:dyDescent="0.2">
      <c r="A218" s="9" t="s">
        <v>9</v>
      </c>
      <c r="B218" s="10" t="str">
        <f t="shared" si="42"/>
        <v>LEAF SPRING AFO</v>
      </c>
      <c r="C218" s="10" t="str">
        <f t="shared" si="43"/>
        <v>AIR A MED INC</v>
      </c>
      <c r="D218" s="10" t="str">
        <f>T("60-7021 (SM-LEFT)")</f>
        <v>60-7021 (SM-LEFT)</v>
      </c>
      <c r="E218" s="10" t="str">
        <f t="shared" si="44"/>
        <v>L1930</v>
      </c>
      <c r="F218" s="10" t="str">
        <f t="shared" si="45"/>
        <v>12/20/2017</v>
      </c>
      <c r="G218" s="10" t="str">
        <f t="shared" si="40"/>
        <v/>
      </c>
      <c r="H218" s="10" t="str">
        <f t="shared" si="46"/>
        <v/>
      </c>
    </row>
    <row r="219" spans="1:8" ht="13.5" customHeight="1" x14ac:dyDescent="0.2">
      <c r="A219" s="9" t="s">
        <v>9</v>
      </c>
      <c r="B219" s="10" t="str">
        <f t="shared" si="42"/>
        <v>LEAF SPRING AFO</v>
      </c>
      <c r="C219" s="10" t="str">
        <f t="shared" si="43"/>
        <v>AIR A MED INC</v>
      </c>
      <c r="D219" s="10" t="str">
        <f>T("60-7022 (MED-LEFT)")</f>
        <v>60-7022 (MED-LEFT)</v>
      </c>
      <c r="E219" s="10" t="str">
        <f t="shared" si="44"/>
        <v>L1930</v>
      </c>
      <c r="F219" s="10" t="str">
        <f t="shared" si="45"/>
        <v>12/20/2017</v>
      </c>
      <c r="G219" s="10" t="str">
        <f t="shared" si="40"/>
        <v/>
      </c>
      <c r="H219" s="10" t="str">
        <f t="shared" si="46"/>
        <v/>
      </c>
    </row>
    <row r="220" spans="1:8" ht="13.5" customHeight="1" x14ac:dyDescent="0.2">
      <c r="A220" s="9" t="s">
        <v>9</v>
      </c>
      <c r="B220" s="10" t="str">
        <f t="shared" si="42"/>
        <v>LEAF SPRING AFO</v>
      </c>
      <c r="C220" s="10" t="str">
        <f t="shared" si="43"/>
        <v>AIR A MED INC</v>
      </c>
      <c r="D220" s="10" t="str">
        <f>T("60-7023 (LG-LEFT)")</f>
        <v>60-7023 (LG-LEFT)</v>
      </c>
      <c r="E220" s="10" t="str">
        <f t="shared" si="44"/>
        <v>L1930</v>
      </c>
      <c r="F220" s="10" t="str">
        <f t="shared" si="45"/>
        <v>12/20/2017</v>
      </c>
      <c r="G220" s="10" t="str">
        <f t="shared" si="40"/>
        <v/>
      </c>
      <c r="H220" s="10" t="str">
        <f t="shared" si="46"/>
        <v/>
      </c>
    </row>
    <row r="221" spans="1:8" ht="13.5" customHeight="1" x14ac:dyDescent="0.2">
      <c r="A221" s="9" t="s">
        <v>9</v>
      </c>
      <c r="B221" s="10" t="str">
        <f t="shared" si="42"/>
        <v>LEAF SPRING AFO</v>
      </c>
      <c r="C221" s="10" t="str">
        <f t="shared" si="43"/>
        <v>AIR A MED INC</v>
      </c>
      <c r="D221" s="10" t="str">
        <f>T("60-7024 (XL-LEFT)")</f>
        <v>60-7024 (XL-LEFT)</v>
      </c>
      <c r="E221" s="10" t="str">
        <f t="shared" si="44"/>
        <v>L1930</v>
      </c>
      <c r="F221" s="10" t="str">
        <f t="shared" si="45"/>
        <v>12/20/2017</v>
      </c>
      <c r="G221" s="10" t="str">
        <f t="shared" si="40"/>
        <v/>
      </c>
      <c r="H221" s="10" t="str">
        <f t="shared" si="46"/>
        <v/>
      </c>
    </row>
    <row r="222" spans="1:8" ht="13.5" customHeight="1" x14ac:dyDescent="0.2">
      <c r="A222" s="9" t="s">
        <v>9</v>
      </c>
      <c r="B222" s="10" t="str">
        <f>T("ELITE REHABILITATOR VARUS/VALGUS CONTROL T-STRAP - RIGHT")</f>
        <v>ELITE REHABILITATOR VARUS/VALGUS CONTROL T-STRAP - RIGHT</v>
      </c>
      <c r="C222" s="10" t="str">
        <f>T("GUARDIAN BRACE INC")</f>
        <v>GUARDIAN BRACE INC</v>
      </c>
      <c r="D222" s="10" t="str">
        <f>T("ERA-STRAP - R")</f>
        <v>ERA-STRAP - R</v>
      </c>
      <c r="E222" s="10" t="str">
        <f>T("L2270")</f>
        <v>L2270</v>
      </c>
      <c r="F222" s="10" t="str">
        <f>T("12/15/2017")</f>
        <v>12/15/2017</v>
      </c>
      <c r="G222" s="10" t="str">
        <f t="shared" si="40"/>
        <v/>
      </c>
      <c r="H222" s="10" t="str">
        <f t="shared" si="46"/>
        <v/>
      </c>
    </row>
    <row r="223" spans="1:8" ht="13.5" customHeight="1" x14ac:dyDescent="0.2">
      <c r="A223" s="9" t="s">
        <v>9</v>
      </c>
      <c r="B223" s="10" t="str">
        <f>T("ELITE REHABILITATOR VARUS/VALGUS CONTROL T-STRAP - LEFT")</f>
        <v>ELITE REHABILITATOR VARUS/VALGUS CONTROL T-STRAP - LEFT</v>
      </c>
      <c r="C223" s="10" t="str">
        <f>T("GUARDIAN BRACE INC")</f>
        <v>GUARDIAN BRACE INC</v>
      </c>
      <c r="D223" s="10" t="str">
        <f>T("ERA-STRAP - L")</f>
        <v>ERA-STRAP - L</v>
      </c>
      <c r="E223" s="10" t="str">
        <f>T("L2270")</f>
        <v>L2270</v>
      </c>
      <c r="F223" s="10" t="str">
        <f>T("12/15/2017")</f>
        <v>12/15/2017</v>
      </c>
      <c r="G223" s="10" t="str">
        <f t="shared" si="40"/>
        <v/>
      </c>
      <c r="H223" s="10" t="str">
        <f t="shared" si="46"/>
        <v/>
      </c>
    </row>
    <row r="224" spans="1:8" ht="13.5" customHeight="1" x14ac:dyDescent="0.2">
      <c r="A224" s="9" t="s">
        <v>9</v>
      </c>
      <c r="B224" s="10" t="str">
        <f>T("BUNION AID SPLINT I")</f>
        <v>BUNION AID SPLINT I</v>
      </c>
      <c r="C224" s="10" t="str">
        <f>T("ALPHA ORTHOTICS CORP")</f>
        <v>ALPHA ORTHOTICS CORP</v>
      </c>
      <c r="D224" s="10" t="str">
        <f>T("82-03S (SIZE 4-6)")</f>
        <v>82-03S (SIZE 4-6)</v>
      </c>
      <c r="E224" s="10" t="str">
        <f>T("L3100")</f>
        <v>L3100</v>
      </c>
      <c r="F224" s="10" t="str">
        <f>T("12/12/2017")</f>
        <v>12/12/2017</v>
      </c>
      <c r="G224" s="10" t="str">
        <f t="shared" si="40"/>
        <v/>
      </c>
      <c r="H224" s="10" t="str">
        <f t="shared" si="46"/>
        <v/>
      </c>
    </row>
    <row r="225" spans="1:8" ht="13.5" customHeight="1" x14ac:dyDescent="0.2">
      <c r="A225" s="9" t="s">
        <v>9</v>
      </c>
      <c r="B225" s="10" t="str">
        <f>T("BUNION AID SPLINT III")</f>
        <v>BUNION AID SPLINT III</v>
      </c>
      <c r="C225" s="10" t="str">
        <f>T("ALPHA ORTHOTICS CORP")</f>
        <v>ALPHA ORTHOTICS CORP</v>
      </c>
      <c r="D225" s="10" t="str">
        <f>T("82-03H (SIZE 6-10)")</f>
        <v>82-03H (SIZE 6-10)</v>
      </c>
      <c r="E225" s="10" t="str">
        <f>T("L3100")</f>
        <v>L3100</v>
      </c>
      <c r="F225" s="10" t="str">
        <f>T("12/12/2017")</f>
        <v>12/12/2017</v>
      </c>
      <c r="G225" s="10" t="str">
        <f t="shared" si="40"/>
        <v/>
      </c>
      <c r="H225" s="10" t="str">
        <f t="shared" si="46"/>
        <v/>
      </c>
    </row>
    <row r="226" spans="1:8" ht="13.5" customHeight="1" x14ac:dyDescent="0.2">
      <c r="A226" s="9" t="s">
        <v>9</v>
      </c>
      <c r="B226" s="10" t="str">
        <f>T("BUNION AID SPLINT IV")</f>
        <v>BUNION AID SPLINT IV</v>
      </c>
      <c r="C226" s="10" t="str">
        <f>T("ALPHA ORTHOTICS CORP")</f>
        <v>ALPHA ORTHOTICS CORP</v>
      </c>
      <c r="D226" s="10" t="str">
        <f>T("82-03L (SIZE 10-13)")</f>
        <v>82-03L (SIZE 10-13)</v>
      </c>
      <c r="E226" s="10" t="str">
        <f>T("L3100")</f>
        <v>L3100</v>
      </c>
      <c r="F226" s="10" t="str">
        <f>T("12/12/2017")</f>
        <v>12/12/2017</v>
      </c>
      <c r="G226" s="10" t="str">
        <f t="shared" si="40"/>
        <v/>
      </c>
      <c r="H226" s="10" t="str">
        <f t="shared" si="46"/>
        <v/>
      </c>
    </row>
    <row r="227" spans="1:8" ht="13.5" customHeight="1" x14ac:dyDescent="0.2">
      <c r="A227" s="9" t="s">
        <v>9</v>
      </c>
      <c r="B227" s="10" t="str">
        <f>T("PL-3170 HEEL CUP")</f>
        <v>PL-3170 HEEL CUP</v>
      </c>
      <c r="C227" s="10" t="str">
        <f>T("PROLINE BRACING LLC")</f>
        <v>PROLINE BRACING LLC</v>
      </c>
      <c r="D227" s="10" t="str">
        <f>T("PL-3170 (101)")</f>
        <v>PL-3170 (101)</v>
      </c>
      <c r="E227" s="10" t="str">
        <f>T("L3170")</f>
        <v>L3170</v>
      </c>
      <c r="F227" s="10" t="str">
        <f>T("12/22/2017")</f>
        <v>12/22/2017</v>
      </c>
      <c r="G227" s="10" t="str">
        <f t="shared" si="40"/>
        <v/>
      </c>
      <c r="H227" s="10" t="str">
        <f t="shared" si="46"/>
        <v/>
      </c>
    </row>
    <row r="228" spans="1:8" ht="13.5" customHeight="1" x14ac:dyDescent="0.2">
      <c r="A228" s="9" t="s">
        <v>9</v>
      </c>
      <c r="B228" s="10" t="str">
        <f>T("PL-3170 HEEL CUP")</f>
        <v>PL-3170 HEEL CUP</v>
      </c>
      <c r="C228" s="10" t="str">
        <f>T("PROLINE BRACING LLC")</f>
        <v>PROLINE BRACING LLC</v>
      </c>
      <c r="D228" s="10" t="str">
        <f>T("PL-3170 (102)")</f>
        <v>PL-3170 (102)</v>
      </c>
      <c r="E228" s="10" t="str">
        <f>T("L3170")</f>
        <v>L3170</v>
      </c>
      <c r="F228" s="10" t="str">
        <f>T("12/22/2017")</f>
        <v>12/22/2017</v>
      </c>
      <c r="G228" s="10" t="str">
        <f t="shared" si="40"/>
        <v/>
      </c>
      <c r="H228" s="10" t="str">
        <f t="shared" si="46"/>
        <v/>
      </c>
    </row>
    <row r="229" spans="1:8" ht="13.5" customHeight="1" x14ac:dyDescent="0.2">
      <c r="A229" s="9" t="s">
        <v>9</v>
      </c>
      <c r="B229" s="10" t="str">
        <f>T("PL-3170 HEEL CUP")</f>
        <v>PL-3170 HEEL CUP</v>
      </c>
      <c r="C229" s="10" t="str">
        <f>T("PROLINE BRACING LLC")</f>
        <v>PROLINE BRACING LLC</v>
      </c>
      <c r="D229" s="10" t="str">
        <f>T("PL-3170 (103)")</f>
        <v>PL-3170 (103)</v>
      </c>
      <c r="E229" s="10" t="str">
        <f>T("L3170")</f>
        <v>L3170</v>
      </c>
      <c r="F229" s="10" t="str">
        <f>T("12/22/2017")</f>
        <v>12/22/2017</v>
      </c>
      <c r="G229" s="10" t="str">
        <f t="shared" si="40"/>
        <v/>
      </c>
      <c r="H229" s="10" t="str">
        <f t="shared" si="46"/>
        <v/>
      </c>
    </row>
    <row r="230" spans="1:8" ht="13.5" customHeight="1" x14ac:dyDescent="0.2">
      <c r="A230" s="9" t="s">
        <v>9</v>
      </c>
      <c r="B230" s="10" t="str">
        <f>T("S.O.T. RESTING HAND SPLINT LEFT SMALL")</f>
        <v>S.O.T. RESTING HAND SPLINT LEFT SMALL</v>
      </c>
      <c r="C230" s="10" t="str">
        <f t="shared" ref="C230:C235" si="47">T("ALLARD USA")</f>
        <v>ALLARD USA</v>
      </c>
      <c r="D230" s="10" t="str">
        <f>T("28710 1011")</f>
        <v>28710 1011</v>
      </c>
      <c r="E230" s="10" t="str">
        <f t="shared" ref="E230:E236" si="48">T("L3807 OR L3809")</f>
        <v>L3807 OR L3809</v>
      </c>
      <c r="F230" s="10" t="str">
        <f t="shared" ref="F230:F235" si="49">T("12/05/2017")</f>
        <v>12/05/2017</v>
      </c>
      <c r="G230" s="10" t="str">
        <f t="shared" si="40"/>
        <v/>
      </c>
      <c r="H230" s="10" t="str">
        <f t="shared" si="46"/>
        <v/>
      </c>
    </row>
    <row r="231" spans="1:8" ht="13.5" customHeight="1" x14ac:dyDescent="0.2">
      <c r="A231" s="9" t="s">
        <v>9</v>
      </c>
      <c r="B231" s="10" t="str">
        <f>T("S.O.T. RESTING HAND SPLINT LEFT MEDIUM")</f>
        <v>S.O.T. RESTING HAND SPLINT LEFT MEDIUM</v>
      </c>
      <c r="C231" s="10" t="str">
        <f t="shared" si="47"/>
        <v>ALLARD USA</v>
      </c>
      <c r="D231" s="10" t="str">
        <f>T("28710 1012")</f>
        <v>28710 1012</v>
      </c>
      <c r="E231" s="10" t="str">
        <f t="shared" si="48"/>
        <v>L3807 OR L3809</v>
      </c>
      <c r="F231" s="10" t="str">
        <f t="shared" si="49"/>
        <v>12/05/2017</v>
      </c>
      <c r="G231" s="10" t="str">
        <f t="shared" si="40"/>
        <v/>
      </c>
      <c r="H231" s="10" t="str">
        <f t="shared" si="46"/>
        <v/>
      </c>
    </row>
    <row r="232" spans="1:8" ht="13.5" customHeight="1" x14ac:dyDescent="0.2">
      <c r="A232" s="9" t="s">
        <v>9</v>
      </c>
      <c r="B232" s="10" t="str">
        <f>T("S.O.T. RESTING HAND SPLINT LEFT LARGE")</f>
        <v>S.O.T. RESTING HAND SPLINT LEFT LARGE</v>
      </c>
      <c r="C232" s="10" t="str">
        <f t="shared" si="47"/>
        <v>ALLARD USA</v>
      </c>
      <c r="D232" s="10" t="str">
        <f>T("28710 1013")</f>
        <v>28710 1013</v>
      </c>
      <c r="E232" s="10" t="str">
        <f t="shared" si="48"/>
        <v>L3807 OR L3809</v>
      </c>
      <c r="F232" s="10" t="str">
        <f t="shared" si="49"/>
        <v>12/05/2017</v>
      </c>
      <c r="G232" s="10" t="str">
        <f t="shared" si="40"/>
        <v/>
      </c>
      <c r="H232" s="10" t="str">
        <f t="shared" si="46"/>
        <v/>
      </c>
    </row>
    <row r="233" spans="1:8" ht="13.5" customHeight="1" x14ac:dyDescent="0.2">
      <c r="A233" s="9" t="s">
        <v>9</v>
      </c>
      <c r="B233" s="10" t="str">
        <f>T("S.O.T. RESTING HAND SPLINT RIGHT SMALL")</f>
        <v>S.O.T. RESTING HAND SPLINT RIGHT SMALL</v>
      </c>
      <c r="C233" s="10" t="str">
        <f t="shared" si="47"/>
        <v>ALLARD USA</v>
      </c>
      <c r="D233" s="10" t="str">
        <f>T("28710 2011")</f>
        <v>28710 2011</v>
      </c>
      <c r="E233" s="10" t="str">
        <f t="shared" si="48"/>
        <v>L3807 OR L3809</v>
      </c>
      <c r="F233" s="10" t="str">
        <f t="shared" si="49"/>
        <v>12/05/2017</v>
      </c>
      <c r="G233" s="10" t="str">
        <f t="shared" si="40"/>
        <v/>
      </c>
      <c r="H233" s="10" t="str">
        <f t="shared" si="46"/>
        <v/>
      </c>
    </row>
    <row r="234" spans="1:8" ht="13.5" customHeight="1" x14ac:dyDescent="0.2">
      <c r="A234" s="9" t="s">
        <v>9</v>
      </c>
      <c r="B234" s="10" t="str">
        <f>T("S.O.T. RESTING HAND SPLINT RIGHT MEDIUM")</f>
        <v>S.O.T. RESTING HAND SPLINT RIGHT MEDIUM</v>
      </c>
      <c r="C234" s="10" t="str">
        <f t="shared" si="47"/>
        <v>ALLARD USA</v>
      </c>
      <c r="D234" s="10" t="str">
        <f>T("28710 2012")</f>
        <v>28710 2012</v>
      </c>
      <c r="E234" s="10" t="str">
        <f t="shared" si="48"/>
        <v>L3807 OR L3809</v>
      </c>
      <c r="F234" s="10" t="str">
        <f t="shared" si="49"/>
        <v>12/05/2017</v>
      </c>
      <c r="G234" s="10" t="str">
        <f t="shared" si="40"/>
        <v/>
      </c>
      <c r="H234" s="10" t="str">
        <f t="shared" si="46"/>
        <v/>
      </c>
    </row>
    <row r="235" spans="1:8" ht="13.5" customHeight="1" x14ac:dyDescent="0.2">
      <c r="A235" s="9" t="s">
        <v>9</v>
      </c>
      <c r="B235" s="10" t="str">
        <f>T("S.O.T. RESTING HAND SPLINT RIGHT LARGE")</f>
        <v>S.O.T. RESTING HAND SPLINT RIGHT LARGE</v>
      </c>
      <c r="C235" s="10" t="str">
        <f t="shared" si="47"/>
        <v>ALLARD USA</v>
      </c>
      <c r="D235" s="10" t="str">
        <f>T("28710 2013")</f>
        <v>28710 2013</v>
      </c>
      <c r="E235" s="10" t="str">
        <f t="shared" si="48"/>
        <v>L3807 OR L3809</v>
      </c>
      <c r="F235" s="10" t="str">
        <f t="shared" si="49"/>
        <v>12/05/2017</v>
      </c>
      <c r="G235" s="10" t="str">
        <f t="shared" si="40"/>
        <v/>
      </c>
      <c r="H235" s="10" t="str">
        <f t="shared" si="46"/>
        <v/>
      </c>
    </row>
    <row r="236" spans="1:8" ht="13.5" customHeight="1" x14ac:dyDescent="0.2">
      <c r="A236" s="9" t="s">
        <v>9</v>
      </c>
      <c r="B236" s="10" t="str">
        <f>T("BENDEASE UNFLO FLO-FORM UNIVERSAL HAND SPLINT")</f>
        <v>BENDEASE UNFLO FLO-FORM UNIVERSAL HAND SPLINT</v>
      </c>
      <c r="C236" s="10" t="str">
        <f>T("GREENWOOD MARKETING LLC (DBA RESTORATIVE MEDICAL)")</f>
        <v>GREENWOOD MARKETING LLC (DBA RESTORATIVE MEDICAL)</v>
      </c>
      <c r="D236" s="10" t="str">
        <f>T("20715 UNFLO")</f>
        <v>20715 UNFLO</v>
      </c>
      <c r="E236" s="10" t="str">
        <f t="shared" si="48"/>
        <v>L3807 OR L3809</v>
      </c>
      <c r="F236" s="10" t="str">
        <f>T("12/18/2017")</f>
        <v>12/18/2017</v>
      </c>
      <c r="G236" s="10" t="str">
        <f t="shared" si="40"/>
        <v/>
      </c>
      <c r="H236" s="10" t="str">
        <f t="shared" si="46"/>
        <v/>
      </c>
    </row>
    <row r="237" spans="1:8" ht="13.5" customHeight="1" x14ac:dyDescent="0.2">
      <c r="A237" s="9" t="s">
        <v>9</v>
      </c>
      <c r="B237" s="10" t="str">
        <f>T("PRO SELECT FULL SHELL AIR WALKER HIGH SMALL")</f>
        <v>PRO SELECT FULL SHELL AIR WALKER HIGH SMALL</v>
      </c>
      <c r="C237" s="10" t="str">
        <f>T("ELITE ORTHOPAEDICS INC")</f>
        <v>ELITE ORTHOPAEDICS INC</v>
      </c>
      <c r="D237" s="10" t="str">
        <f>T("T98622")</f>
        <v>T98622</v>
      </c>
      <c r="E237" s="10" t="str">
        <f>T("L4360 OR L4361")</f>
        <v>L4360 OR L4361</v>
      </c>
      <c r="F237" s="10" t="str">
        <f>T("12/01/2017")</f>
        <v>12/01/2017</v>
      </c>
      <c r="G237" s="10" t="str">
        <f t="shared" si="40"/>
        <v/>
      </c>
      <c r="H237" s="10" t="str">
        <f t="shared" si="46"/>
        <v/>
      </c>
    </row>
    <row r="238" spans="1:8" ht="13.5" customHeight="1" x14ac:dyDescent="0.2">
      <c r="A238" s="9" t="s">
        <v>9</v>
      </c>
      <c r="B238" s="10" t="str">
        <f>T("PRO SELECT FULL SHELL AIR WALKER HIGH MEDIUM")</f>
        <v>PRO SELECT FULL SHELL AIR WALKER HIGH MEDIUM</v>
      </c>
      <c r="C238" s="10" t="str">
        <f>T("ELITE ORTHOPAEDICS INC")</f>
        <v>ELITE ORTHOPAEDICS INC</v>
      </c>
      <c r="D238" s="10" t="str">
        <f>T("T98624")</f>
        <v>T98624</v>
      </c>
      <c r="E238" s="10" t="str">
        <f>T("L4360 OR L4361")</f>
        <v>L4360 OR L4361</v>
      </c>
      <c r="F238" s="10" t="str">
        <f>T("12/01/2017")</f>
        <v>12/01/2017</v>
      </c>
      <c r="G238" s="10" t="str">
        <f t="shared" si="40"/>
        <v/>
      </c>
      <c r="H238" s="10" t="str">
        <f t="shared" si="46"/>
        <v/>
      </c>
    </row>
    <row r="239" spans="1:8" ht="13.5" customHeight="1" x14ac:dyDescent="0.2">
      <c r="A239" s="9" t="s">
        <v>9</v>
      </c>
      <c r="B239" s="10" t="str">
        <f>T("PRO SELECT FULL SHELL AIR WALKER HIGH LARGE")</f>
        <v>PRO SELECT FULL SHELL AIR WALKER HIGH LARGE</v>
      </c>
      <c r="C239" s="10" t="str">
        <f>T("ELITE ORTHOPAEDICS INC")</f>
        <v>ELITE ORTHOPAEDICS INC</v>
      </c>
      <c r="D239" s="10" t="str">
        <f>T("T98626")</f>
        <v>T98626</v>
      </c>
      <c r="E239" s="10" t="str">
        <f>T("L4360 OR L4361")</f>
        <v>L4360 OR L4361</v>
      </c>
      <c r="F239" s="10" t="str">
        <f>T("12/01/2017")</f>
        <v>12/01/2017</v>
      </c>
      <c r="G239" s="10" t="str">
        <f t="shared" si="40"/>
        <v/>
      </c>
      <c r="H239" s="10" t="str">
        <f t="shared" si="46"/>
        <v/>
      </c>
    </row>
    <row r="240" spans="1:8" ht="13.5" customHeight="1" x14ac:dyDescent="0.2">
      <c r="A240" s="9" t="s">
        <v>9</v>
      </c>
      <c r="B240" s="10" t="str">
        <f>T("RHEO KNEE XC")</f>
        <v>RHEO KNEE XC</v>
      </c>
      <c r="C240" s="10" t="str">
        <f t="shared" ref="C240:C245" si="50">T("OSSUR AMERICAS INC")</f>
        <v>OSSUR AMERICAS INC</v>
      </c>
      <c r="D240" s="10" t="str">
        <f>T("RKNXC0002")</f>
        <v>RKNXC0002</v>
      </c>
      <c r="E240" s="10" t="str">
        <f t="shared" ref="E240:E245" si="51">T("L5828+L5845+L5848+L5856+L5925")</f>
        <v>L5828+L5845+L5848+L5856+L5925</v>
      </c>
      <c r="F240" s="10" t="str">
        <f t="shared" ref="F240:F245" si="52">T("12/07/2017")</f>
        <v>12/07/2017</v>
      </c>
      <c r="G240" s="10" t="str">
        <f t="shared" si="40"/>
        <v/>
      </c>
      <c r="H240" s="10" t="str">
        <f t="shared" si="46"/>
        <v/>
      </c>
    </row>
    <row r="241" spans="1:8" ht="13.5" customHeight="1" x14ac:dyDescent="0.2">
      <c r="A241" s="9" t="s">
        <v>9</v>
      </c>
      <c r="B241" s="10" t="str">
        <f>T("RHEO KNEE XC")</f>
        <v>RHEO KNEE XC</v>
      </c>
      <c r="C241" s="10" t="str">
        <f t="shared" si="50"/>
        <v>OSSUR AMERICAS INC</v>
      </c>
      <c r="D241" s="10" t="str">
        <f>T("RKNXC0003")</f>
        <v>RKNXC0003</v>
      </c>
      <c r="E241" s="10" t="str">
        <f t="shared" si="51"/>
        <v>L5828+L5845+L5848+L5856+L5925</v>
      </c>
      <c r="F241" s="10" t="str">
        <f t="shared" si="52"/>
        <v>12/07/2017</v>
      </c>
      <c r="G241" s="10" t="str">
        <f t="shared" si="40"/>
        <v/>
      </c>
      <c r="H241" s="10" t="str">
        <f t="shared" si="46"/>
        <v/>
      </c>
    </row>
    <row r="242" spans="1:8" ht="13.5" customHeight="1" x14ac:dyDescent="0.2">
      <c r="A242" s="9" t="s">
        <v>9</v>
      </c>
      <c r="B242" s="10" t="str">
        <f>T("RHEO KNEE XC")</f>
        <v>RHEO KNEE XC</v>
      </c>
      <c r="C242" s="10" t="str">
        <f t="shared" si="50"/>
        <v>OSSUR AMERICAS INC</v>
      </c>
      <c r="D242" s="10" t="str">
        <f>T("RKNXC0004")</f>
        <v>RKNXC0004</v>
      </c>
      <c r="E242" s="10" t="str">
        <f t="shared" si="51"/>
        <v>L5828+L5845+L5848+L5856+L5925</v>
      </c>
      <c r="F242" s="10" t="str">
        <f t="shared" si="52"/>
        <v>12/07/2017</v>
      </c>
      <c r="G242" s="10" t="str">
        <f t="shared" si="40"/>
        <v/>
      </c>
      <c r="H242" s="10" t="str">
        <f t="shared" si="46"/>
        <v/>
      </c>
    </row>
    <row r="243" spans="1:8" ht="13.5" customHeight="1" x14ac:dyDescent="0.2">
      <c r="A243" s="9" t="s">
        <v>9</v>
      </c>
      <c r="B243" s="10" t="str">
        <f>T("RHEO KNEE XC")</f>
        <v>RHEO KNEE XC</v>
      </c>
      <c r="C243" s="10" t="str">
        <f t="shared" si="50"/>
        <v>OSSUR AMERICAS INC</v>
      </c>
      <c r="D243" s="10" t="str">
        <f>T("RKNXC0005")</f>
        <v>RKNXC0005</v>
      </c>
      <c r="E243" s="10" t="str">
        <f t="shared" si="51"/>
        <v>L5828+L5845+L5848+L5856+L5925</v>
      </c>
      <c r="F243" s="10" t="str">
        <f t="shared" si="52"/>
        <v>12/07/2017</v>
      </c>
      <c r="G243" s="10" t="str">
        <f t="shared" si="40"/>
        <v/>
      </c>
      <c r="H243" s="10" t="str">
        <f t="shared" si="46"/>
        <v/>
      </c>
    </row>
    <row r="244" spans="1:8" ht="13.5" customHeight="1" x14ac:dyDescent="0.2">
      <c r="A244" s="9" t="s">
        <v>9</v>
      </c>
      <c r="B244" s="10" t="str">
        <f>T("RHEO KNEE")</f>
        <v>RHEO KNEE</v>
      </c>
      <c r="C244" s="10" t="str">
        <f t="shared" si="50"/>
        <v>OSSUR AMERICAS INC</v>
      </c>
      <c r="D244" s="10" t="str">
        <f>T("RKN130003")</f>
        <v>RKN130003</v>
      </c>
      <c r="E244" s="10" t="str">
        <f t="shared" si="51"/>
        <v>L5828+L5845+L5848+L5856+L5925</v>
      </c>
      <c r="F244" s="10" t="str">
        <f t="shared" si="52"/>
        <v>12/07/2017</v>
      </c>
      <c r="G244" s="10" t="str">
        <f t="shared" si="40"/>
        <v/>
      </c>
      <c r="H244" s="10" t="str">
        <f t="shared" si="46"/>
        <v/>
      </c>
    </row>
    <row r="245" spans="1:8" ht="13.5" customHeight="1" x14ac:dyDescent="0.2">
      <c r="A245" s="9" t="s">
        <v>9</v>
      </c>
      <c r="B245" s="10" t="str">
        <f>T("RHEO KNEE")</f>
        <v>RHEO KNEE</v>
      </c>
      <c r="C245" s="10" t="str">
        <f t="shared" si="50"/>
        <v>OSSUR AMERICAS INC</v>
      </c>
      <c r="D245" s="10" t="str">
        <f>T("RKN130005")</f>
        <v>RKN130005</v>
      </c>
      <c r="E245" s="10" t="str">
        <f t="shared" si="51"/>
        <v>L5828+L5845+L5848+L5856+L5925</v>
      </c>
      <c r="F245" s="10" t="str">
        <f t="shared" si="52"/>
        <v>12/07/2017</v>
      </c>
      <c r="G245" s="10" t="str">
        <f t="shared" si="40"/>
        <v/>
      </c>
      <c r="H245" s="10" t="str">
        <f t="shared" si="46"/>
        <v/>
      </c>
    </row>
    <row r="246" spans="1:8" ht="13.5" customHeight="1" x14ac:dyDescent="0.2">
      <c r="A246" s="9" t="s">
        <v>9</v>
      </c>
      <c r="B246" s="10" t="str">
        <f>T("ALPHA MEDICAL INGUINAL HERNIA TRUSS")</f>
        <v>ALPHA MEDICAL INGUINAL HERNIA TRUSS</v>
      </c>
      <c r="C246" s="10" t="str">
        <f>T("ALPHA MEDICAL LLC")</f>
        <v>ALPHA MEDICAL LLC</v>
      </c>
      <c r="D246" s="10" t="str">
        <f>T("5000")</f>
        <v>5000</v>
      </c>
      <c r="E246" s="10" t="str">
        <f>T("L8310")</f>
        <v>L8310</v>
      </c>
      <c r="F246" s="10" t="str">
        <f>T("12/26/2017")</f>
        <v>12/26/2017</v>
      </c>
      <c r="G246" s="10" t="str">
        <f t="shared" si="40"/>
        <v/>
      </c>
      <c r="H246" s="10" t="str">
        <f t="shared" si="46"/>
        <v/>
      </c>
    </row>
    <row r="247" spans="1:8" ht="13.5" customHeight="1" x14ac:dyDescent="0.2">
      <c r="A247" s="9" t="s">
        <v>10</v>
      </c>
      <c r="B247" s="6" t="s">
        <v>33</v>
      </c>
      <c r="C247" s="6" t="s">
        <v>34</v>
      </c>
      <c r="D247" s="8" t="s">
        <v>35</v>
      </c>
      <c r="E247" s="6" t="s">
        <v>36</v>
      </c>
      <c r="F247" s="7">
        <v>39293</v>
      </c>
      <c r="G247" s="7">
        <v>43094</v>
      </c>
      <c r="H247" s="6"/>
    </row>
    <row r="248" spans="1:8" ht="13.5" customHeight="1" x14ac:dyDescent="0.2"/>
    <row r="249" spans="1:8" ht="13.5" customHeight="1" x14ac:dyDescent="0.2"/>
    <row r="250" spans="1:8" ht="13.5" customHeight="1" x14ac:dyDescent="0.2"/>
    <row r="251" spans="1:8" ht="13.5" customHeight="1" x14ac:dyDescent="0.2"/>
    <row r="252" spans="1:8" ht="13.5" customHeight="1" x14ac:dyDescent="0.2"/>
    <row r="253" spans="1:8" ht="13.5" customHeight="1" x14ac:dyDescent="0.2"/>
    <row r="254" spans="1:8" ht="13.5" customHeight="1" x14ac:dyDescent="0.2"/>
    <row r="255" spans="1:8" ht="13.5" customHeight="1" x14ac:dyDescent="0.2"/>
    <row r="256" spans="1:8" ht="13.5" customHeight="1" x14ac:dyDescent="0.2"/>
    <row r="257" ht="13.5" customHeight="1" x14ac:dyDescent="0.2"/>
    <row r="258" ht="13.5" customHeight="1" x14ac:dyDescent="0.2"/>
    <row r="259" ht="13.5" customHeight="1" x14ac:dyDescent="0.2"/>
    <row r="260" ht="13.5" customHeight="1" x14ac:dyDescent="0.2"/>
    <row r="261" ht="13.5" customHeight="1" x14ac:dyDescent="0.2"/>
    <row r="262" ht="13.5" customHeight="1" x14ac:dyDescent="0.2"/>
    <row r="263" ht="13.5" customHeight="1" x14ac:dyDescent="0.2"/>
    <row r="264" ht="13.5" customHeight="1" x14ac:dyDescent="0.2"/>
    <row r="265" ht="13.5" customHeight="1" x14ac:dyDescent="0.2"/>
    <row r="266" ht="13.5" customHeight="1" x14ac:dyDescent="0.2"/>
    <row r="267" ht="13.5" customHeight="1" x14ac:dyDescent="0.2"/>
    <row r="268" ht="13.5" customHeight="1" x14ac:dyDescent="0.2"/>
    <row r="269" ht="13.5" customHeight="1" x14ac:dyDescent="0.2"/>
    <row r="270" ht="13.5" customHeight="1" x14ac:dyDescent="0.2"/>
    <row r="271" ht="13.5" customHeight="1" x14ac:dyDescent="0.2"/>
    <row r="272" ht="13.5" customHeight="1" x14ac:dyDescent="0.2"/>
    <row r="273" ht="13.5" customHeight="1" x14ac:dyDescent="0.2"/>
    <row r="274" ht="13.5" customHeight="1" x14ac:dyDescent="0.2"/>
    <row r="275" ht="13.5" customHeight="1" x14ac:dyDescent="0.2"/>
    <row r="276" ht="13.5" customHeight="1" x14ac:dyDescent="0.2"/>
    <row r="277" ht="13.5" customHeight="1" x14ac:dyDescent="0.2"/>
    <row r="278" ht="13.5" customHeight="1" x14ac:dyDescent="0.2"/>
    <row r="279" ht="13.5" customHeight="1" x14ac:dyDescent="0.2"/>
    <row r="280" ht="13.5" customHeight="1" x14ac:dyDescent="0.2"/>
    <row r="281" ht="13.5" customHeight="1" x14ac:dyDescent="0.2"/>
    <row r="282" ht="13.5" customHeight="1" x14ac:dyDescent="0.2"/>
    <row r="283" ht="13.5" customHeight="1" x14ac:dyDescent="0.2"/>
    <row r="284" ht="13.5" customHeight="1" x14ac:dyDescent="0.2"/>
    <row r="285" ht="13.5" customHeight="1" x14ac:dyDescent="0.2"/>
    <row r="286" ht="13.5" customHeight="1" x14ac:dyDescent="0.2"/>
    <row r="287" ht="13.5" customHeight="1" x14ac:dyDescent="0.2"/>
    <row r="288" ht="13.5" customHeight="1" x14ac:dyDescent="0.2"/>
    <row r="289" ht="13.5" customHeight="1" x14ac:dyDescent="0.2"/>
    <row r="290" ht="13.5" customHeight="1" x14ac:dyDescent="0.2"/>
    <row r="291" ht="13.5" customHeight="1" x14ac:dyDescent="0.2"/>
    <row r="292" ht="13.5" customHeight="1" x14ac:dyDescent="0.2"/>
    <row r="293" ht="13.5" customHeight="1" x14ac:dyDescent="0.2"/>
    <row r="294" ht="13.5" customHeight="1" x14ac:dyDescent="0.2"/>
    <row r="295" ht="13.5" customHeight="1" x14ac:dyDescent="0.2"/>
    <row r="296" ht="13.5" customHeight="1" x14ac:dyDescent="0.2"/>
    <row r="297" ht="13.5" customHeight="1" x14ac:dyDescent="0.2"/>
    <row r="298" ht="13.5" customHeight="1" x14ac:dyDescent="0.2"/>
    <row r="299" ht="13.5" customHeight="1" x14ac:dyDescent="0.2"/>
    <row r="300" ht="13.5" customHeight="1" x14ac:dyDescent="0.2"/>
    <row r="301" ht="13.5" customHeight="1" x14ac:dyDescent="0.2"/>
    <row r="302" ht="13.5" customHeight="1" x14ac:dyDescent="0.2"/>
    <row r="303" ht="13.5" customHeight="1" x14ac:dyDescent="0.2"/>
    <row r="304" ht="13.5" customHeight="1" x14ac:dyDescent="0.2"/>
    <row r="305" ht="13.5" customHeight="1" x14ac:dyDescent="0.2"/>
    <row r="306" ht="13.5" customHeight="1" x14ac:dyDescent="0.2"/>
    <row r="307" ht="13.5" customHeight="1" x14ac:dyDescent="0.2"/>
    <row r="308" ht="13.5" customHeight="1" x14ac:dyDescent="0.2"/>
    <row r="309" ht="13.5" customHeight="1" x14ac:dyDescent="0.2"/>
    <row r="310" ht="13.5" customHeight="1" x14ac:dyDescent="0.2"/>
    <row r="311" ht="13.5" customHeight="1" x14ac:dyDescent="0.2"/>
    <row r="312" ht="13.5" customHeight="1" x14ac:dyDescent="0.2"/>
    <row r="313" ht="13.5" customHeight="1" x14ac:dyDescent="0.2"/>
    <row r="314" ht="13.5" customHeight="1" x14ac:dyDescent="0.2"/>
    <row r="315" ht="13.5" customHeight="1" x14ac:dyDescent="0.2"/>
    <row r="316" ht="13.5" customHeight="1" x14ac:dyDescent="0.2"/>
    <row r="317" ht="13.5" customHeight="1" x14ac:dyDescent="0.2"/>
    <row r="318" ht="13.5" customHeight="1" x14ac:dyDescent="0.2"/>
    <row r="319" ht="13.5" customHeight="1" x14ac:dyDescent="0.2"/>
    <row r="320" ht="13.5" customHeight="1" x14ac:dyDescent="0.2"/>
    <row r="321" ht="13.5" customHeight="1" x14ac:dyDescent="0.2"/>
    <row r="322" ht="13.5" customHeight="1" x14ac:dyDescent="0.2"/>
    <row r="323" ht="13.5" customHeight="1" x14ac:dyDescent="0.2"/>
    <row r="324" ht="13.5" customHeight="1" x14ac:dyDescent="0.2"/>
    <row r="325" ht="13.5" customHeight="1" x14ac:dyDescent="0.2"/>
    <row r="326" ht="13.5" customHeight="1" x14ac:dyDescent="0.2"/>
    <row r="327" ht="13.5" customHeight="1" x14ac:dyDescent="0.2"/>
    <row r="328" ht="13.5" customHeight="1" x14ac:dyDescent="0.2"/>
    <row r="329" ht="13.5" customHeight="1" x14ac:dyDescent="0.2"/>
    <row r="330" ht="13.5" customHeight="1" x14ac:dyDescent="0.2"/>
    <row r="331" ht="13.5" customHeight="1" x14ac:dyDescent="0.2"/>
    <row r="332" ht="13.5" customHeight="1" x14ac:dyDescent="0.2"/>
    <row r="333" ht="13.5" customHeight="1" x14ac:dyDescent="0.2"/>
    <row r="334" ht="13.5" customHeight="1" x14ac:dyDescent="0.2"/>
    <row r="335" ht="13.5" customHeight="1" x14ac:dyDescent="0.2"/>
    <row r="336" ht="13.5" customHeight="1" x14ac:dyDescent="0.2"/>
    <row r="337" ht="13.5" customHeight="1" x14ac:dyDescent="0.2"/>
    <row r="338" ht="13.5" customHeight="1" x14ac:dyDescent="0.2"/>
    <row r="339" ht="13.5" customHeight="1" x14ac:dyDescent="0.2"/>
    <row r="340" ht="13.5" customHeight="1" x14ac:dyDescent="0.2"/>
    <row r="341" ht="13.5" customHeight="1" x14ac:dyDescent="0.2"/>
    <row r="342" ht="13.5" customHeight="1" x14ac:dyDescent="0.2"/>
    <row r="343" ht="13.5" customHeight="1" x14ac:dyDescent="0.2"/>
    <row r="344" ht="13.5" customHeight="1" x14ac:dyDescent="0.2"/>
    <row r="345" ht="13.5" customHeight="1" x14ac:dyDescent="0.2"/>
    <row r="346" ht="13.5" customHeight="1" x14ac:dyDescent="0.2"/>
    <row r="347" ht="13.5" customHeight="1" x14ac:dyDescent="0.2"/>
    <row r="348" ht="13.5" customHeight="1" x14ac:dyDescent="0.2"/>
    <row r="349" ht="13.5" customHeight="1" x14ac:dyDescent="0.2"/>
    <row r="350" ht="13.5" customHeight="1" x14ac:dyDescent="0.2"/>
    <row r="351" ht="13.5" customHeight="1" x14ac:dyDescent="0.2"/>
    <row r="352" ht="13.5" customHeight="1" x14ac:dyDescent="0.2"/>
    <row r="353" ht="13.5" customHeight="1" x14ac:dyDescent="0.2"/>
    <row r="354" ht="13.5" customHeight="1" x14ac:dyDescent="0.2"/>
    <row r="355" ht="13.5" customHeight="1" x14ac:dyDescent="0.2"/>
    <row r="356" ht="13.5" customHeight="1" x14ac:dyDescent="0.2"/>
    <row r="357" ht="13.5" customHeight="1" x14ac:dyDescent="0.2"/>
    <row r="358" ht="13.5" customHeight="1" x14ac:dyDescent="0.2"/>
    <row r="359" ht="13.5" customHeight="1" x14ac:dyDescent="0.2"/>
    <row r="360" ht="13.5" customHeight="1" x14ac:dyDescent="0.2"/>
    <row r="361" ht="13.5" customHeight="1" x14ac:dyDescent="0.2"/>
    <row r="362" ht="13.5" customHeight="1" x14ac:dyDescent="0.2"/>
    <row r="363" ht="13.5" customHeight="1" x14ac:dyDescent="0.2"/>
    <row r="364" ht="13.5" customHeight="1" x14ac:dyDescent="0.2"/>
    <row r="365" ht="13.5" customHeight="1" x14ac:dyDescent="0.2"/>
    <row r="366" ht="13.5" customHeight="1" x14ac:dyDescent="0.2"/>
    <row r="367" ht="13.5" customHeight="1" x14ac:dyDescent="0.2"/>
    <row r="368" ht="13.5" customHeight="1" x14ac:dyDescent="0.2"/>
    <row r="369" ht="13.5" customHeight="1" x14ac:dyDescent="0.2"/>
    <row r="370" ht="13.5" customHeight="1" x14ac:dyDescent="0.2"/>
    <row r="371" ht="13.5" customHeight="1" x14ac:dyDescent="0.2"/>
    <row r="372" ht="13.5" customHeight="1" x14ac:dyDescent="0.2"/>
    <row r="373" ht="13.5" customHeight="1" x14ac:dyDescent="0.2"/>
    <row r="374" ht="13.5" customHeight="1" x14ac:dyDescent="0.2"/>
    <row r="375" ht="13.5" customHeight="1" x14ac:dyDescent="0.2"/>
    <row r="376" ht="13.5" customHeight="1" x14ac:dyDescent="0.2"/>
    <row r="377" ht="13.5" customHeight="1" x14ac:dyDescent="0.2"/>
    <row r="378" ht="13.5" customHeight="1" x14ac:dyDescent="0.2"/>
    <row r="379" ht="13.5" customHeight="1" x14ac:dyDescent="0.2"/>
    <row r="380" ht="13.5" customHeight="1" x14ac:dyDescent="0.2"/>
    <row r="381" ht="13.5" customHeight="1" x14ac:dyDescent="0.2"/>
    <row r="382" ht="13.5" customHeight="1" x14ac:dyDescent="0.2"/>
    <row r="383" ht="13.5" customHeight="1" x14ac:dyDescent="0.2"/>
    <row r="384" ht="13.5" customHeight="1" x14ac:dyDescent="0.2"/>
    <row r="385" ht="13.5" customHeight="1" x14ac:dyDescent="0.2"/>
    <row r="386" ht="13.5" customHeight="1" x14ac:dyDescent="0.2"/>
    <row r="387" ht="13.5" customHeight="1" x14ac:dyDescent="0.2"/>
    <row r="388" ht="13.5" customHeight="1" x14ac:dyDescent="0.2"/>
    <row r="389" ht="13.5" customHeight="1" x14ac:dyDescent="0.2"/>
    <row r="390" ht="13.5" customHeight="1" x14ac:dyDescent="0.2"/>
    <row r="391" ht="13.5" customHeight="1" x14ac:dyDescent="0.2"/>
    <row r="392" ht="13.5" customHeight="1" x14ac:dyDescent="0.2"/>
    <row r="393" ht="13.5" customHeight="1" x14ac:dyDescent="0.2"/>
    <row r="394" ht="13.5" customHeight="1" x14ac:dyDescent="0.2"/>
    <row r="395" ht="13.5" customHeight="1" x14ac:dyDescent="0.2"/>
    <row r="396" ht="13.5" customHeight="1" x14ac:dyDescent="0.2"/>
    <row r="397" ht="13.5" customHeight="1" x14ac:dyDescent="0.2"/>
    <row r="398" ht="13.5" customHeight="1" x14ac:dyDescent="0.2"/>
    <row r="399" ht="13.5" customHeight="1" x14ac:dyDescent="0.2"/>
    <row r="400" ht="13.5" customHeight="1" x14ac:dyDescent="0.2"/>
    <row r="401" ht="13.5" customHeight="1" x14ac:dyDescent="0.2"/>
    <row r="402" ht="13.5" customHeight="1" x14ac:dyDescent="0.2"/>
    <row r="403" ht="13.5" customHeight="1" x14ac:dyDescent="0.2"/>
    <row r="404" ht="13.5" customHeight="1" x14ac:dyDescent="0.2"/>
    <row r="405" ht="13.5" customHeight="1" x14ac:dyDescent="0.2"/>
    <row r="406" ht="13.5" customHeight="1" x14ac:dyDescent="0.2"/>
    <row r="407" ht="13.5" customHeight="1" x14ac:dyDescent="0.2"/>
    <row r="408" ht="13.5" customHeight="1" x14ac:dyDescent="0.2"/>
    <row r="409" ht="13.5" customHeight="1" x14ac:dyDescent="0.2"/>
    <row r="410" ht="13.5" customHeight="1" x14ac:dyDescent="0.2"/>
    <row r="411" ht="13.5" customHeight="1" x14ac:dyDescent="0.2"/>
    <row r="412" ht="13.5" customHeight="1" x14ac:dyDescent="0.2"/>
    <row r="413" ht="13.5" customHeight="1" x14ac:dyDescent="0.2"/>
    <row r="414" ht="13.5" customHeight="1" x14ac:dyDescent="0.2"/>
    <row r="415" ht="13.5" customHeight="1" x14ac:dyDescent="0.2"/>
    <row r="416" ht="13.5" customHeight="1" x14ac:dyDescent="0.2"/>
    <row r="417" ht="13.5" customHeight="1" x14ac:dyDescent="0.2"/>
    <row r="418" ht="13.5" customHeight="1" x14ac:dyDescent="0.2"/>
    <row r="419" ht="13.5" customHeight="1" x14ac:dyDescent="0.2"/>
    <row r="420" ht="13.5" customHeight="1" x14ac:dyDescent="0.2"/>
    <row r="421" ht="13.5" customHeight="1" x14ac:dyDescent="0.2"/>
    <row r="422" ht="13.5" customHeight="1" x14ac:dyDescent="0.2"/>
    <row r="423" ht="13.5" customHeight="1" x14ac:dyDescent="0.2"/>
    <row r="424" ht="13.5" customHeight="1" x14ac:dyDescent="0.2"/>
    <row r="425" ht="13.5" customHeight="1" x14ac:dyDescent="0.2"/>
    <row r="426" ht="13.5" customHeight="1" x14ac:dyDescent="0.2"/>
    <row r="427" ht="13.5" customHeight="1" x14ac:dyDescent="0.2"/>
    <row r="428" ht="13.5" customHeight="1" x14ac:dyDescent="0.2"/>
    <row r="429" ht="13.5" customHeight="1" x14ac:dyDescent="0.2"/>
    <row r="430" ht="13.5" customHeight="1" x14ac:dyDescent="0.2"/>
    <row r="431" ht="13.5" customHeight="1" x14ac:dyDescent="0.2"/>
    <row r="432" ht="13.5" customHeight="1" x14ac:dyDescent="0.2"/>
    <row r="433" ht="13.5" customHeight="1" x14ac:dyDescent="0.2"/>
    <row r="434" ht="13.5" customHeight="1" x14ac:dyDescent="0.2"/>
    <row r="435" ht="13.5" customHeight="1" x14ac:dyDescent="0.2"/>
    <row r="436" ht="13.5" customHeight="1" x14ac:dyDescent="0.2"/>
    <row r="437" ht="13.5" customHeight="1" x14ac:dyDescent="0.2"/>
    <row r="438" ht="13.5" customHeight="1" x14ac:dyDescent="0.2"/>
    <row r="439" ht="13.5" customHeight="1" x14ac:dyDescent="0.2"/>
    <row r="440" ht="13.5" customHeight="1" x14ac:dyDescent="0.2"/>
    <row r="441" ht="13.5" customHeight="1" x14ac:dyDescent="0.2"/>
    <row r="442" ht="13.5" customHeight="1" x14ac:dyDescent="0.2"/>
    <row r="443" ht="13.5" customHeight="1" x14ac:dyDescent="0.2"/>
    <row r="444" ht="13.5" customHeight="1" x14ac:dyDescent="0.2"/>
    <row r="445" ht="13.5" customHeight="1" x14ac:dyDescent="0.2"/>
    <row r="446" ht="13.5" customHeight="1" x14ac:dyDescent="0.2"/>
    <row r="447" ht="13.5" customHeight="1" x14ac:dyDescent="0.2"/>
    <row r="448" ht="13.5" customHeight="1" x14ac:dyDescent="0.2"/>
    <row r="449" ht="13.5" customHeight="1" x14ac:dyDescent="0.2"/>
    <row r="450" ht="13.5" customHeight="1" x14ac:dyDescent="0.2"/>
    <row r="451" ht="13.5" customHeight="1" x14ac:dyDescent="0.2"/>
    <row r="452" ht="13.5" customHeight="1" x14ac:dyDescent="0.2"/>
    <row r="453" ht="13.5" customHeight="1" x14ac:dyDescent="0.2"/>
    <row r="454" ht="13.5" customHeight="1" x14ac:dyDescent="0.2"/>
    <row r="455" ht="13.5" customHeight="1" x14ac:dyDescent="0.2"/>
    <row r="456" ht="13.5" customHeight="1" x14ac:dyDescent="0.2"/>
    <row r="457" ht="13.5" customHeight="1" x14ac:dyDescent="0.2"/>
    <row r="458" ht="13.5" customHeight="1" x14ac:dyDescent="0.2"/>
    <row r="459" ht="13.5" customHeight="1" x14ac:dyDescent="0.2"/>
    <row r="460" ht="13.5" customHeight="1" x14ac:dyDescent="0.2"/>
    <row r="461" ht="13.5" customHeight="1" x14ac:dyDescent="0.2"/>
    <row r="462" ht="13.5" customHeight="1" x14ac:dyDescent="0.2"/>
    <row r="463" ht="13.5" customHeight="1" x14ac:dyDescent="0.2"/>
    <row r="464" ht="13.5" customHeight="1" x14ac:dyDescent="0.2"/>
    <row r="465" ht="13.5" customHeight="1" x14ac:dyDescent="0.2"/>
    <row r="466" ht="13.5" customHeight="1" x14ac:dyDescent="0.2"/>
    <row r="467" ht="13.5" customHeight="1" x14ac:dyDescent="0.2"/>
    <row r="468" ht="13.5" customHeight="1" x14ac:dyDescent="0.2"/>
    <row r="469" ht="13.5" customHeight="1" x14ac:dyDescent="0.2"/>
    <row r="470" ht="13.5" customHeight="1" x14ac:dyDescent="0.2"/>
    <row r="471" ht="13.5" customHeight="1" x14ac:dyDescent="0.2"/>
    <row r="472" ht="13.5" customHeight="1" x14ac:dyDescent="0.2"/>
    <row r="473" ht="13.5" customHeight="1" x14ac:dyDescent="0.2"/>
    <row r="474" ht="13.5" customHeight="1" x14ac:dyDescent="0.2"/>
    <row r="475" ht="13.5" customHeight="1" x14ac:dyDescent="0.2"/>
    <row r="476" ht="13.5" customHeight="1" x14ac:dyDescent="0.2"/>
    <row r="477" ht="13.5" customHeight="1" x14ac:dyDescent="0.2"/>
    <row r="478" ht="13.5" customHeight="1" x14ac:dyDescent="0.2"/>
    <row r="479" ht="13.5" customHeight="1" x14ac:dyDescent="0.2"/>
    <row r="480" ht="13.5" customHeight="1" x14ac:dyDescent="0.2"/>
    <row r="481" ht="13.5" customHeight="1" x14ac:dyDescent="0.2"/>
    <row r="482" ht="13.5" customHeight="1" x14ac:dyDescent="0.2"/>
    <row r="483" ht="13.5" customHeight="1" x14ac:dyDescent="0.2"/>
    <row r="484" ht="13.5" customHeight="1" x14ac:dyDescent="0.2"/>
    <row r="485" ht="13.5" customHeight="1" x14ac:dyDescent="0.2"/>
    <row r="486" ht="13.5" customHeight="1" x14ac:dyDescent="0.2"/>
    <row r="487" ht="13.5" customHeight="1" x14ac:dyDescent="0.2"/>
    <row r="488" ht="13.5" customHeight="1" x14ac:dyDescent="0.2"/>
    <row r="489" ht="13.5" customHeight="1" x14ac:dyDescent="0.2"/>
    <row r="490" ht="13.5" customHeight="1" x14ac:dyDescent="0.2"/>
    <row r="491" ht="13.5" customHeight="1" x14ac:dyDescent="0.2"/>
    <row r="492" ht="13.5" customHeight="1" x14ac:dyDescent="0.2"/>
    <row r="493" ht="13.5" customHeight="1" x14ac:dyDescent="0.2"/>
    <row r="494" ht="13.5" customHeight="1" x14ac:dyDescent="0.2"/>
    <row r="495" ht="13.5" customHeight="1" x14ac:dyDescent="0.2"/>
    <row r="496" ht="13.5" customHeight="1" x14ac:dyDescent="0.2"/>
    <row r="497" ht="13.5" customHeight="1" x14ac:dyDescent="0.2"/>
    <row r="498" ht="13.5" customHeight="1" x14ac:dyDescent="0.2"/>
    <row r="499" ht="13.5" customHeight="1" x14ac:dyDescent="0.2"/>
    <row r="500" ht="13.5" customHeight="1" x14ac:dyDescent="0.2"/>
    <row r="501" ht="13.5" customHeight="1" x14ac:dyDescent="0.2"/>
    <row r="502" ht="13.5" customHeight="1" x14ac:dyDescent="0.2"/>
    <row r="503" ht="13.5" customHeight="1" x14ac:dyDescent="0.2"/>
    <row r="504" ht="13.5" customHeight="1" x14ac:dyDescent="0.2"/>
    <row r="505" ht="13.5" customHeight="1" x14ac:dyDescent="0.2"/>
    <row r="506" ht="13.5" customHeight="1" x14ac:dyDescent="0.2"/>
    <row r="507" ht="13.5" customHeight="1" x14ac:dyDescent="0.2"/>
    <row r="508" ht="13.5" customHeight="1" x14ac:dyDescent="0.2"/>
    <row r="509" ht="13.5" customHeight="1" x14ac:dyDescent="0.2"/>
    <row r="510" ht="13.5" customHeight="1" x14ac:dyDescent="0.2"/>
    <row r="511" ht="13.5" customHeight="1" x14ac:dyDescent="0.2"/>
    <row r="512" ht="13.5" customHeight="1" x14ac:dyDescent="0.2"/>
    <row r="513" ht="13.5" customHeight="1" x14ac:dyDescent="0.2"/>
    <row r="514" ht="13.5" customHeight="1" x14ac:dyDescent="0.2"/>
    <row r="515" ht="13.5" customHeight="1" x14ac:dyDescent="0.2"/>
    <row r="516" ht="13.5" customHeight="1" x14ac:dyDescent="0.2"/>
    <row r="517" ht="13.5" customHeight="1" x14ac:dyDescent="0.2"/>
    <row r="518" ht="13.5" customHeight="1" x14ac:dyDescent="0.2"/>
    <row r="519" ht="13.5" customHeight="1" x14ac:dyDescent="0.2"/>
    <row r="520" ht="13.5" customHeight="1" x14ac:dyDescent="0.2"/>
    <row r="521" ht="13.5" customHeight="1" x14ac:dyDescent="0.2"/>
    <row r="522" ht="13.5" customHeight="1" x14ac:dyDescent="0.2"/>
    <row r="523" ht="13.5" customHeight="1" x14ac:dyDescent="0.2"/>
    <row r="524" ht="13.5" customHeight="1" x14ac:dyDescent="0.2"/>
    <row r="525" ht="13.5" customHeight="1" x14ac:dyDescent="0.2"/>
    <row r="526" ht="13.5" customHeight="1" x14ac:dyDescent="0.2"/>
    <row r="527" ht="13.5" customHeight="1" x14ac:dyDescent="0.2"/>
    <row r="528" ht="13.5" customHeight="1" x14ac:dyDescent="0.2"/>
    <row r="529" ht="13.5" customHeight="1" x14ac:dyDescent="0.2"/>
    <row r="530" ht="13.5" customHeight="1" x14ac:dyDescent="0.2"/>
    <row r="531" ht="13.5" customHeight="1" x14ac:dyDescent="0.2"/>
    <row r="532" ht="13.5" customHeight="1" x14ac:dyDescent="0.2"/>
    <row r="533" ht="13.5" customHeight="1" x14ac:dyDescent="0.2"/>
    <row r="534" ht="13.5" customHeight="1" x14ac:dyDescent="0.2"/>
    <row r="535" ht="13.5" customHeight="1" x14ac:dyDescent="0.2"/>
    <row r="536" ht="13.5" customHeight="1" x14ac:dyDescent="0.2"/>
    <row r="537" ht="13.5" customHeight="1" x14ac:dyDescent="0.2"/>
    <row r="538" ht="13.5" customHeight="1" x14ac:dyDescent="0.2"/>
    <row r="539" ht="13.5" customHeight="1" x14ac:dyDescent="0.2"/>
    <row r="540" ht="13.5" customHeight="1" x14ac:dyDescent="0.2"/>
    <row r="541" ht="13.5" customHeight="1" x14ac:dyDescent="0.2"/>
    <row r="542" ht="13.5" customHeight="1" x14ac:dyDescent="0.2"/>
    <row r="543" ht="13.5" customHeight="1" x14ac:dyDescent="0.2"/>
    <row r="544" ht="13.5" customHeight="1" x14ac:dyDescent="0.2"/>
    <row r="545" ht="13.5" customHeight="1" x14ac:dyDescent="0.2"/>
    <row r="546" ht="13.5" customHeight="1" x14ac:dyDescent="0.2"/>
    <row r="547" ht="13.5" customHeight="1" x14ac:dyDescent="0.2"/>
    <row r="548" ht="13.5" customHeight="1" x14ac:dyDescent="0.2"/>
    <row r="549" ht="13.5" customHeight="1" x14ac:dyDescent="0.2"/>
    <row r="550" ht="13.5" customHeight="1" x14ac:dyDescent="0.2"/>
    <row r="551" ht="13.5" customHeight="1" x14ac:dyDescent="0.2"/>
    <row r="552" ht="13.5" customHeight="1" x14ac:dyDescent="0.2"/>
    <row r="553" ht="13.5" customHeight="1" x14ac:dyDescent="0.2"/>
    <row r="554" ht="13.5" customHeight="1" x14ac:dyDescent="0.2"/>
    <row r="555" ht="13.5" customHeight="1" x14ac:dyDescent="0.2"/>
    <row r="556" ht="13.5" customHeight="1" x14ac:dyDescent="0.2"/>
    <row r="557" ht="13.5" customHeight="1" x14ac:dyDescent="0.2"/>
    <row r="558" ht="13.5" customHeight="1" x14ac:dyDescent="0.2"/>
    <row r="559" ht="13.5" customHeight="1" x14ac:dyDescent="0.2"/>
    <row r="560" ht="13.5" customHeight="1" x14ac:dyDescent="0.2"/>
    <row r="561" ht="13.5" customHeight="1" x14ac:dyDescent="0.2"/>
    <row r="562" ht="13.5" customHeight="1" x14ac:dyDescent="0.2"/>
    <row r="563" ht="13.5" customHeight="1" x14ac:dyDescent="0.2"/>
    <row r="564" ht="13.5" customHeight="1" x14ac:dyDescent="0.2"/>
    <row r="565" ht="13.5" customHeight="1" x14ac:dyDescent="0.2"/>
    <row r="566" ht="13.5" customHeight="1" x14ac:dyDescent="0.2"/>
    <row r="567" ht="13.5" customHeight="1" x14ac:dyDescent="0.2"/>
    <row r="568" ht="13.5" customHeight="1" x14ac:dyDescent="0.2"/>
    <row r="569" ht="13.5" customHeight="1" x14ac:dyDescent="0.2"/>
    <row r="570" ht="13.5" customHeight="1" x14ac:dyDescent="0.2"/>
    <row r="571" ht="13.5" customHeight="1" x14ac:dyDescent="0.2"/>
    <row r="572" ht="13.5" customHeight="1" x14ac:dyDescent="0.2"/>
    <row r="573" ht="13.5" customHeight="1" x14ac:dyDescent="0.2"/>
    <row r="574" ht="13.5" customHeight="1" x14ac:dyDescent="0.2"/>
    <row r="575" ht="13.5" customHeight="1" x14ac:dyDescent="0.2"/>
    <row r="576" ht="13.5" customHeight="1" x14ac:dyDescent="0.2"/>
    <row r="577" ht="13.5" customHeight="1" x14ac:dyDescent="0.2"/>
    <row r="578" ht="13.5" customHeight="1" x14ac:dyDescent="0.2"/>
    <row r="579" ht="13.5" customHeight="1" x14ac:dyDescent="0.2"/>
    <row r="580" ht="13.5" customHeight="1" x14ac:dyDescent="0.2"/>
    <row r="581" ht="13.5" customHeight="1" x14ac:dyDescent="0.2"/>
    <row r="582" ht="13.5" customHeight="1" x14ac:dyDescent="0.2"/>
    <row r="583" ht="13.5" customHeight="1" x14ac:dyDescent="0.2"/>
    <row r="584" ht="13.5" customHeight="1" x14ac:dyDescent="0.2"/>
    <row r="585" ht="13.5" customHeight="1" x14ac:dyDescent="0.2"/>
    <row r="586" ht="13.5" customHeight="1" x14ac:dyDescent="0.2"/>
    <row r="587" ht="13.5" customHeight="1" x14ac:dyDescent="0.2"/>
    <row r="588" ht="13.5" customHeight="1" x14ac:dyDescent="0.2"/>
    <row r="589" ht="13.5" customHeight="1" x14ac:dyDescent="0.2"/>
    <row r="590" ht="13.5" customHeight="1" x14ac:dyDescent="0.2"/>
    <row r="591" ht="13.5" customHeight="1" x14ac:dyDescent="0.2"/>
    <row r="592" ht="13.5" customHeight="1" x14ac:dyDescent="0.2"/>
    <row r="593" ht="13.5" customHeight="1" x14ac:dyDescent="0.2"/>
    <row r="594" ht="13.5" customHeight="1" x14ac:dyDescent="0.2"/>
    <row r="595" ht="13.5" customHeight="1" x14ac:dyDescent="0.2"/>
    <row r="596" ht="13.5" customHeight="1" x14ac:dyDescent="0.2"/>
    <row r="597" ht="13.5" customHeight="1" x14ac:dyDescent="0.2"/>
    <row r="598" ht="13.5" customHeight="1" x14ac:dyDescent="0.2"/>
    <row r="599" ht="13.5" customHeight="1" x14ac:dyDescent="0.2"/>
    <row r="600" ht="13.5" customHeight="1" x14ac:dyDescent="0.2"/>
    <row r="601" ht="13.5" customHeight="1" x14ac:dyDescent="0.2"/>
    <row r="602" ht="13.5" customHeight="1" x14ac:dyDescent="0.2"/>
    <row r="603" ht="13.5" customHeight="1" x14ac:dyDescent="0.2"/>
    <row r="604" ht="13.5" customHeight="1" x14ac:dyDescent="0.2"/>
    <row r="605" ht="13.5" customHeight="1" x14ac:dyDescent="0.2"/>
    <row r="606" ht="13.5" customHeight="1" x14ac:dyDescent="0.2"/>
    <row r="607" ht="13.5" customHeight="1" x14ac:dyDescent="0.2"/>
    <row r="608" ht="13.5" customHeight="1" x14ac:dyDescent="0.2"/>
    <row r="609" ht="13.5" customHeight="1" x14ac:dyDescent="0.2"/>
    <row r="610" ht="13.5" customHeight="1" x14ac:dyDescent="0.2"/>
    <row r="611" ht="13.5" customHeight="1" x14ac:dyDescent="0.2"/>
    <row r="612" ht="13.5" customHeight="1" x14ac:dyDescent="0.2"/>
    <row r="613" ht="13.5" customHeight="1" x14ac:dyDescent="0.2"/>
    <row r="614" ht="13.5" customHeight="1" x14ac:dyDescent="0.2"/>
    <row r="615" ht="13.5" customHeight="1" x14ac:dyDescent="0.2"/>
    <row r="616" ht="13.5" customHeight="1" x14ac:dyDescent="0.2"/>
    <row r="617" ht="13.5" customHeight="1" x14ac:dyDescent="0.2"/>
    <row r="618" ht="13.5" customHeight="1" x14ac:dyDescent="0.2"/>
    <row r="619" ht="13.5" customHeight="1" x14ac:dyDescent="0.2"/>
    <row r="620" ht="13.5" customHeight="1" x14ac:dyDescent="0.2"/>
    <row r="621" ht="13.5" customHeight="1" x14ac:dyDescent="0.2"/>
    <row r="622" ht="13.5" customHeight="1" x14ac:dyDescent="0.2"/>
    <row r="623" ht="13.5" customHeight="1" x14ac:dyDescent="0.2"/>
    <row r="624" ht="13.5" customHeight="1" x14ac:dyDescent="0.2"/>
    <row r="625" ht="13.5" customHeight="1" x14ac:dyDescent="0.2"/>
    <row r="626" ht="13.5" customHeight="1" x14ac:dyDescent="0.2"/>
    <row r="627" ht="13.5" customHeight="1" x14ac:dyDescent="0.2"/>
    <row r="628" ht="13.5" customHeight="1" x14ac:dyDescent="0.2"/>
    <row r="629" ht="13.5" customHeight="1" x14ac:dyDescent="0.2"/>
    <row r="630" ht="13.5" customHeight="1" x14ac:dyDescent="0.2"/>
    <row r="631" ht="13.5" customHeight="1" x14ac:dyDescent="0.2"/>
    <row r="632" ht="13.5" customHeight="1" x14ac:dyDescent="0.2"/>
    <row r="633" ht="13.5" customHeight="1" x14ac:dyDescent="0.2"/>
    <row r="634" ht="13.5" customHeight="1" x14ac:dyDescent="0.2"/>
    <row r="635" ht="13.5" customHeight="1" x14ac:dyDescent="0.2"/>
    <row r="636" ht="13.5" customHeight="1" x14ac:dyDescent="0.2"/>
    <row r="637" ht="13.5" customHeight="1" x14ac:dyDescent="0.2"/>
    <row r="638" ht="13.5" customHeight="1" x14ac:dyDescent="0.2"/>
    <row r="639" ht="13.5" customHeight="1" x14ac:dyDescent="0.2"/>
    <row r="640" ht="13.5" customHeight="1" x14ac:dyDescent="0.2"/>
    <row r="641" ht="13.5" customHeight="1" x14ac:dyDescent="0.2"/>
    <row r="642" ht="13.5" customHeight="1" x14ac:dyDescent="0.2"/>
    <row r="643" ht="13.5" customHeight="1" x14ac:dyDescent="0.2"/>
    <row r="644" ht="13.5" customHeight="1" x14ac:dyDescent="0.2"/>
    <row r="645" ht="13.5" customHeight="1" x14ac:dyDescent="0.2"/>
    <row r="646" ht="13.5" customHeight="1" x14ac:dyDescent="0.2"/>
    <row r="647" ht="13.5" customHeight="1" x14ac:dyDescent="0.2"/>
    <row r="648" ht="13.5" customHeight="1" x14ac:dyDescent="0.2"/>
    <row r="649" ht="13.5" customHeight="1" x14ac:dyDescent="0.2"/>
    <row r="650" ht="13.5" customHeight="1" x14ac:dyDescent="0.2"/>
    <row r="651" ht="13.5" customHeight="1" x14ac:dyDescent="0.2"/>
    <row r="652" ht="13.5" customHeight="1" x14ac:dyDescent="0.2"/>
    <row r="653" ht="13.5" customHeight="1" x14ac:dyDescent="0.2"/>
    <row r="654" ht="13.5" customHeight="1" x14ac:dyDescent="0.2"/>
    <row r="655" ht="13.5" customHeight="1" x14ac:dyDescent="0.2"/>
    <row r="656" ht="13.5" customHeight="1" x14ac:dyDescent="0.2"/>
    <row r="657" ht="13.5" customHeight="1" x14ac:dyDescent="0.2"/>
    <row r="658" ht="13.5" customHeight="1" x14ac:dyDescent="0.2"/>
    <row r="659" ht="13.5" customHeight="1" x14ac:dyDescent="0.2"/>
    <row r="660" ht="13.5" customHeight="1" x14ac:dyDescent="0.2"/>
    <row r="661" ht="13.5" customHeight="1" x14ac:dyDescent="0.2"/>
    <row r="662" ht="13.5" customHeight="1" x14ac:dyDescent="0.2"/>
    <row r="663" ht="13.5" customHeight="1" x14ac:dyDescent="0.2"/>
    <row r="664" ht="13.5" customHeight="1" x14ac:dyDescent="0.2"/>
    <row r="665" ht="13.5" customHeight="1" x14ac:dyDescent="0.2"/>
    <row r="666" ht="13.5" customHeight="1" x14ac:dyDescent="0.2"/>
    <row r="667" ht="13.5" customHeight="1" x14ac:dyDescent="0.2"/>
    <row r="668" ht="13.5" customHeight="1" x14ac:dyDescent="0.2"/>
    <row r="669" ht="13.5" customHeight="1" x14ac:dyDescent="0.2"/>
    <row r="670" ht="13.5" customHeight="1" x14ac:dyDescent="0.2"/>
    <row r="671" ht="13.5" customHeight="1" x14ac:dyDescent="0.2"/>
    <row r="672" ht="13.5" customHeight="1" x14ac:dyDescent="0.2"/>
    <row r="673" ht="13.5" customHeight="1" x14ac:dyDescent="0.2"/>
    <row r="674" ht="13.5" customHeight="1" x14ac:dyDescent="0.2"/>
    <row r="675" ht="13.5" customHeight="1" x14ac:dyDescent="0.2"/>
    <row r="676" ht="13.5" customHeight="1" x14ac:dyDescent="0.2"/>
    <row r="677" ht="13.5" customHeight="1" x14ac:dyDescent="0.2"/>
    <row r="678" ht="13.5" customHeight="1" x14ac:dyDescent="0.2"/>
    <row r="679" ht="13.5" customHeight="1" x14ac:dyDescent="0.2"/>
    <row r="680" ht="13.5" customHeight="1" x14ac:dyDescent="0.2"/>
    <row r="681" ht="13.5" customHeight="1" x14ac:dyDescent="0.2"/>
    <row r="682" ht="13.5" customHeight="1" x14ac:dyDescent="0.2"/>
    <row r="683" ht="13.5" customHeight="1" x14ac:dyDescent="0.2"/>
    <row r="684" ht="13.5" customHeight="1" x14ac:dyDescent="0.2"/>
    <row r="685" ht="13.5" customHeight="1" x14ac:dyDescent="0.2"/>
    <row r="686" ht="13.5" customHeight="1" x14ac:dyDescent="0.2"/>
    <row r="687" ht="13.5" customHeight="1" x14ac:dyDescent="0.2"/>
    <row r="688" ht="13.5" customHeight="1" x14ac:dyDescent="0.2"/>
    <row r="689" ht="13.5" customHeight="1" x14ac:dyDescent="0.2"/>
    <row r="690" ht="13.5" customHeight="1" x14ac:dyDescent="0.2"/>
    <row r="691" ht="13.5" customHeight="1" x14ac:dyDescent="0.2"/>
    <row r="692" ht="13.5" customHeight="1" x14ac:dyDescent="0.2"/>
    <row r="693" ht="13.5" customHeight="1" x14ac:dyDescent="0.2"/>
    <row r="694" ht="13.5" customHeight="1" x14ac:dyDescent="0.2"/>
    <row r="695" ht="13.5" customHeight="1" x14ac:dyDescent="0.2"/>
    <row r="696" ht="13.5" customHeight="1" x14ac:dyDescent="0.2"/>
    <row r="697" ht="13.5" customHeight="1" x14ac:dyDescent="0.2"/>
    <row r="698" ht="13.5" customHeight="1" x14ac:dyDescent="0.2"/>
    <row r="699" ht="13.5" customHeight="1" x14ac:dyDescent="0.2"/>
    <row r="700" ht="13.5" customHeight="1" x14ac:dyDescent="0.2"/>
    <row r="701" ht="13.5" customHeight="1" x14ac:dyDescent="0.2"/>
    <row r="702" ht="13.5" customHeight="1" x14ac:dyDescent="0.2"/>
    <row r="703" ht="13.5" customHeight="1" x14ac:dyDescent="0.2"/>
    <row r="704" ht="13.5" customHeight="1" x14ac:dyDescent="0.2"/>
    <row r="705" ht="13.5" customHeight="1" x14ac:dyDescent="0.2"/>
    <row r="706" ht="13.5" customHeight="1" x14ac:dyDescent="0.2"/>
    <row r="707" ht="13.5" customHeight="1" x14ac:dyDescent="0.2"/>
    <row r="708" ht="13.5" customHeight="1" x14ac:dyDescent="0.2"/>
    <row r="709" ht="13.5" customHeight="1" x14ac:dyDescent="0.2"/>
    <row r="710" ht="13.5" customHeight="1" x14ac:dyDescent="0.2"/>
    <row r="711" ht="13.5" customHeight="1" x14ac:dyDescent="0.2"/>
    <row r="712" ht="13.5" customHeight="1" x14ac:dyDescent="0.2"/>
    <row r="713" ht="13.5" customHeight="1" x14ac:dyDescent="0.2"/>
    <row r="714" ht="13.5" customHeight="1" x14ac:dyDescent="0.2"/>
    <row r="715" ht="13.5" customHeight="1" x14ac:dyDescent="0.2"/>
    <row r="716" ht="13.5" customHeight="1" x14ac:dyDescent="0.2"/>
    <row r="717" ht="13.5" customHeight="1" x14ac:dyDescent="0.2"/>
    <row r="718" ht="13.5" customHeight="1" x14ac:dyDescent="0.2"/>
    <row r="719" ht="13.5" customHeight="1" x14ac:dyDescent="0.2"/>
    <row r="720" ht="13.5" customHeight="1" x14ac:dyDescent="0.2"/>
    <row r="721" ht="13.5" customHeight="1" x14ac:dyDescent="0.2"/>
    <row r="722" ht="13.5" customHeight="1" x14ac:dyDescent="0.2"/>
    <row r="723" ht="13.5" customHeight="1" x14ac:dyDescent="0.2"/>
    <row r="724" ht="13.5" customHeight="1" x14ac:dyDescent="0.2"/>
    <row r="725" ht="13.5" customHeight="1" x14ac:dyDescent="0.2"/>
    <row r="726" ht="13.5" customHeight="1" x14ac:dyDescent="0.2"/>
    <row r="727" ht="13.5" customHeight="1" x14ac:dyDescent="0.2"/>
    <row r="728" ht="13.5" customHeight="1" x14ac:dyDescent="0.2"/>
    <row r="729" ht="13.5" customHeight="1" x14ac:dyDescent="0.2"/>
    <row r="730" ht="13.5" customHeight="1" x14ac:dyDescent="0.2"/>
    <row r="731" ht="13.5" customHeight="1" x14ac:dyDescent="0.2"/>
    <row r="732" ht="13.5" customHeight="1" x14ac:dyDescent="0.2"/>
    <row r="733" ht="13.5" customHeight="1" x14ac:dyDescent="0.2"/>
    <row r="734" ht="13.5" customHeight="1" x14ac:dyDescent="0.2"/>
    <row r="735" ht="13.5" customHeight="1" x14ac:dyDescent="0.2"/>
    <row r="736" ht="13.5" customHeight="1" x14ac:dyDescent="0.2"/>
    <row r="737" ht="13.5" customHeight="1" x14ac:dyDescent="0.2"/>
    <row r="738" ht="13.5" customHeight="1" x14ac:dyDescent="0.2"/>
    <row r="739" ht="13.5" customHeight="1" x14ac:dyDescent="0.2"/>
    <row r="740" ht="13.5" customHeight="1" x14ac:dyDescent="0.2"/>
    <row r="741" ht="13.5" customHeight="1" x14ac:dyDescent="0.2"/>
    <row r="742" ht="13.5" customHeight="1" x14ac:dyDescent="0.2"/>
    <row r="743" ht="13.5" customHeight="1" x14ac:dyDescent="0.2"/>
    <row r="744" ht="13.5" customHeight="1" x14ac:dyDescent="0.2"/>
    <row r="745" ht="13.5" customHeight="1" x14ac:dyDescent="0.2"/>
    <row r="746" ht="13.5" customHeight="1" x14ac:dyDescent="0.2"/>
    <row r="747" ht="13.5" customHeight="1" x14ac:dyDescent="0.2"/>
    <row r="748" ht="13.5" customHeight="1" x14ac:dyDescent="0.2"/>
    <row r="749" ht="13.5" customHeight="1" x14ac:dyDescent="0.2"/>
    <row r="750" ht="13.5" customHeight="1" x14ac:dyDescent="0.2"/>
    <row r="751" ht="13.5" customHeight="1" x14ac:dyDescent="0.2"/>
    <row r="752" ht="13.5" customHeight="1" x14ac:dyDescent="0.2"/>
    <row r="753" ht="13.5" customHeight="1" x14ac:dyDescent="0.2"/>
    <row r="754" ht="13.5" customHeight="1" x14ac:dyDescent="0.2"/>
    <row r="755" ht="13.5" customHeight="1" x14ac:dyDescent="0.2"/>
    <row r="756" ht="13.5" customHeight="1" x14ac:dyDescent="0.2"/>
    <row r="757" ht="13.5" customHeight="1" x14ac:dyDescent="0.2"/>
    <row r="758" ht="13.5" customHeight="1" x14ac:dyDescent="0.2"/>
    <row r="759" ht="13.5" customHeight="1" x14ac:dyDescent="0.2"/>
    <row r="760" ht="13.5" customHeight="1" x14ac:dyDescent="0.2"/>
    <row r="761" ht="13.5" customHeight="1" x14ac:dyDescent="0.2"/>
    <row r="762" ht="13.5" customHeight="1" x14ac:dyDescent="0.2"/>
    <row r="763" ht="13.5" customHeight="1" x14ac:dyDescent="0.2"/>
    <row r="764" ht="13.5" customHeight="1" x14ac:dyDescent="0.2"/>
  </sheetData>
  <autoFilter ref="A6:H372"/>
  <mergeCells count="1">
    <mergeCell ref="A1:H5"/>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120B51-8557-4BB8-9C8F-407849809815}">
  <ds:schemaRefs>
    <ds:schemaRef ds:uri="http://schemas.microsoft.com/sharepoint/v3/contenttype/forms"/>
  </ds:schemaRefs>
</ds:datastoreItem>
</file>

<file path=customXml/itemProps2.xml><?xml version="1.0" encoding="utf-8"?>
<ds:datastoreItem xmlns:ds="http://schemas.openxmlformats.org/officeDocument/2006/customXml" ds:itemID="{F0A930C9-70D6-46C0-BE5A-7F3655C87803}">
  <ds:schemaRefs>
    <ds:schemaRef ds:uri="http://schemas.microsoft.com/office/2006/documentManagement/types"/>
    <ds:schemaRef ds:uri="http://schemas.openxmlformats.org/package/2006/metadata/core-properties"/>
    <ds:schemaRef ds:uri="http://purl.org/dc/terms/"/>
    <ds:schemaRef ds:uri="http://purl.org/dc/elements/1.1/"/>
    <ds:schemaRef ds:uri="http://www.w3.org/XML/1998/namespace"/>
    <ds:schemaRef ds:uri="http://purl.org/dc/dcmitype/"/>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7A295F1-531E-4C85-A316-F911CE8646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December 2017</vt:lpstr>
    </vt:vector>
  </TitlesOfParts>
  <Company>Noridian Healthcare Solutions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December 2017 PCL Additions and Updates</dc:title>
  <dc:subject>December 2017 PCL Additions and Updates</dc:subject>
  <dc:creator>Noridian Healthcare Solutions</dc:creator>
  <cp:keywords>December 2017 PCL Additions and Updates</cp:keywords>
  <cp:lastModifiedBy>Megan Schrock</cp:lastModifiedBy>
  <dcterms:created xsi:type="dcterms:W3CDTF">2017-09-05T20:33:43Z</dcterms:created>
  <dcterms:modified xsi:type="dcterms:W3CDTF">2018-02-22T21:53:09Z</dcterms:modified>
</cp:coreProperties>
</file>