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2949\Desktop\Web Request to update docs\"/>
    </mc:Choice>
  </mc:AlternateContent>
  <bookViews>
    <workbookView xWindow="0" yWindow="0" windowWidth="22125" windowHeight="9480"/>
  </bookViews>
  <sheets>
    <sheet name="October 2017" sheetId="1" r:id="rId1"/>
  </sheets>
  <definedNames>
    <definedName name="_xlnm._FilterDatabase" localSheetId="0" hidden="1">'October 2017'!$A$6:$H$283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2" i="1" l="1"/>
  <c r="G282" i="1"/>
  <c r="F282" i="1"/>
  <c r="E282" i="1"/>
  <c r="D282" i="1"/>
  <c r="C282" i="1"/>
  <c r="B282" i="1"/>
  <c r="H281" i="1"/>
  <c r="G281" i="1"/>
  <c r="F281" i="1"/>
  <c r="E281" i="1"/>
  <c r="D281" i="1"/>
  <c r="C281" i="1"/>
  <c r="B281" i="1"/>
  <c r="H280" i="1"/>
  <c r="G280" i="1"/>
  <c r="F280" i="1"/>
  <c r="E280" i="1"/>
  <c r="D280" i="1"/>
  <c r="C280" i="1"/>
  <c r="B280" i="1"/>
  <c r="H279" i="1"/>
  <c r="G279" i="1"/>
  <c r="F279" i="1"/>
  <c r="E279" i="1"/>
  <c r="D279" i="1"/>
  <c r="C279" i="1"/>
  <c r="B279" i="1"/>
  <c r="H278" i="1"/>
  <c r="G278" i="1"/>
  <c r="F278" i="1"/>
  <c r="E278" i="1"/>
  <c r="D278" i="1"/>
  <c r="C278" i="1"/>
  <c r="B278" i="1"/>
  <c r="H277" i="1"/>
  <c r="G277" i="1"/>
  <c r="F277" i="1"/>
  <c r="E277" i="1"/>
  <c r="D277" i="1"/>
  <c r="C277" i="1"/>
  <c r="B277" i="1"/>
  <c r="H276" i="1"/>
  <c r="G276" i="1"/>
  <c r="F276" i="1"/>
  <c r="E276" i="1"/>
  <c r="D276" i="1"/>
  <c r="C276" i="1"/>
  <c r="B276" i="1"/>
  <c r="H275" i="1"/>
  <c r="G275" i="1"/>
  <c r="F275" i="1"/>
  <c r="E275" i="1"/>
  <c r="D275" i="1"/>
  <c r="C275" i="1"/>
  <c r="B275" i="1"/>
  <c r="H274" i="1"/>
  <c r="G274" i="1"/>
  <c r="F274" i="1"/>
  <c r="E274" i="1"/>
  <c r="D274" i="1"/>
  <c r="C274" i="1"/>
  <c r="B274" i="1"/>
  <c r="H273" i="1"/>
  <c r="G273" i="1"/>
  <c r="F273" i="1"/>
  <c r="E273" i="1"/>
  <c r="D273" i="1"/>
  <c r="C273" i="1"/>
  <c r="B273" i="1"/>
  <c r="H272" i="1"/>
  <c r="G272" i="1"/>
  <c r="F272" i="1"/>
  <c r="E272" i="1"/>
  <c r="D272" i="1"/>
  <c r="C272" i="1"/>
  <c r="B272" i="1"/>
  <c r="H271" i="1"/>
  <c r="G271" i="1"/>
  <c r="F271" i="1"/>
  <c r="E271" i="1"/>
  <c r="D271" i="1"/>
  <c r="C271" i="1"/>
  <c r="B271" i="1"/>
  <c r="H270" i="1"/>
  <c r="G270" i="1"/>
  <c r="F270" i="1"/>
  <c r="E270" i="1"/>
  <c r="D270" i="1"/>
  <c r="C270" i="1"/>
  <c r="B270" i="1"/>
  <c r="H269" i="1"/>
  <c r="G269" i="1"/>
  <c r="F269" i="1"/>
  <c r="E269" i="1"/>
  <c r="D269" i="1"/>
  <c r="C269" i="1"/>
  <c r="B269" i="1"/>
  <c r="H268" i="1"/>
  <c r="G268" i="1"/>
  <c r="F268" i="1"/>
  <c r="E268" i="1"/>
  <c r="D268" i="1"/>
  <c r="C268" i="1"/>
  <c r="B268" i="1"/>
  <c r="H267" i="1"/>
  <c r="G267" i="1"/>
  <c r="F267" i="1"/>
  <c r="E267" i="1"/>
  <c r="D267" i="1"/>
  <c r="C267" i="1"/>
  <c r="B267" i="1"/>
  <c r="H266" i="1"/>
  <c r="G266" i="1"/>
  <c r="F266" i="1"/>
  <c r="E266" i="1"/>
  <c r="D266" i="1"/>
  <c r="C266" i="1"/>
  <c r="B266" i="1"/>
  <c r="H265" i="1"/>
  <c r="G265" i="1"/>
  <c r="F265" i="1"/>
  <c r="E265" i="1"/>
  <c r="D265" i="1"/>
  <c r="C265" i="1"/>
  <c r="B265" i="1"/>
  <c r="H264" i="1"/>
  <c r="G264" i="1"/>
  <c r="F264" i="1"/>
  <c r="E264" i="1"/>
  <c r="D264" i="1"/>
  <c r="C264" i="1"/>
  <c r="B264" i="1"/>
  <c r="H263" i="1"/>
  <c r="G263" i="1"/>
  <c r="F263" i="1"/>
  <c r="E263" i="1"/>
  <c r="D263" i="1"/>
  <c r="C263" i="1"/>
  <c r="B263" i="1"/>
  <c r="H262" i="1"/>
  <c r="G262" i="1"/>
  <c r="F262" i="1"/>
  <c r="E262" i="1"/>
  <c r="D262" i="1"/>
  <c r="C262" i="1"/>
  <c r="B262" i="1"/>
  <c r="H261" i="1"/>
  <c r="G261" i="1"/>
  <c r="F261" i="1"/>
  <c r="E261" i="1"/>
  <c r="D261" i="1"/>
  <c r="C261" i="1"/>
  <c r="B261" i="1"/>
  <c r="H260" i="1"/>
  <c r="G260" i="1"/>
  <c r="F260" i="1"/>
  <c r="E260" i="1"/>
  <c r="D260" i="1"/>
  <c r="C260" i="1"/>
  <c r="B260" i="1"/>
  <c r="H259" i="1"/>
  <c r="G259" i="1"/>
  <c r="F259" i="1"/>
  <c r="E259" i="1"/>
  <c r="D259" i="1"/>
  <c r="C259" i="1"/>
  <c r="B259" i="1"/>
  <c r="H258" i="1"/>
  <c r="G258" i="1"/>
  <c r="F258" i="1"/>
  <c r="E258" i="1"/>
  <c r="D258" i="1"/>
  <c r="C258" i="1"/>
  <c r="B258" i="1"/>
  <c r="H257" i="1"/>
  <c r="G257" i="1"/>
  <c r="F257" i="1"/>
  <c r="E257" i="1"/>
  <c r="D257" i="1"/>
  <c r="C257" i="1"/>
  <c r="B257" i="1"/>
  <c r="H256" i="1"/>
  <c r="G256" i="1"/>
  <c r="F256" i="1"/>
  <c r="E256" i="1"/>
  <c r="D256" i="1"/>
  <c r="C256" i="1"/>
  <c r="B256" i="1"/>
  <c r="H255" i="1"/>
  <c r="G255" i="1"/>
  <c r="F255" i="1"/>
  <c r="E255" i="1"/>
  <c r="D255" i="1"/>
  <c r="C255" i="1"/>
  <c r="B255" i="1"/>
  <c r="H254" i="1"/>
  <c r="G254" i="1"/>
  <c r="F254" i="1"/>
  <c r="E254" i="1"/>
  <c r="D254" i="1"/>
  <c r="C254" i="1"/>
  <c r="B254" i="1"/>
  <c r="H253" i="1"/>
  <c r="G253" i="1"/>
  <c r="F253" i="1"/>
  <c r="E253" i="1"/>
  <c r="D253" i="1"/>
  <c r="C253" i="1"/>
  <c r="B253" i="1"/>
  <c r="H248" i="1"/>
  <c r="G248" i="1"/>
  <c r="F248" i="1"/>
  <c r="E248" i="1"/>
  <c r="D248" i="1"/>
  <c r="C248" i="1"/>
  <c r="B248" i="1"/>
  <c r="H247" i="1"/>
  <c r="G247" i="1"/>
  <c r="F247" i="1"/>
  <c r="E247" i="1"/>
  <c r="D247" i="1"/>
  <c r="C247" i="1"/>
  <c r="B247" i="1"/>
  <c r="H246" i="1"/>
  <c r="G246" i="1"/>
  <c r="F246" i="1"/>
  <c r="E246" i="1"/>
  <c r="D246" i="1"/>
  <c r="C246" i="1"/>
  <c r="B246" i="1"/>
  <c r="H245" i="1"/>
  <c r="G245" i="1"/>
  <c r="F245" i="1"/>
  <c r="E245" i="1"/>
  <c r="D245" i="1"/>
  <c r="C245" i="1"/>
  <c r="B245" i="1"/>
  <c r="H244" i="1"/>
  <c r="G244" i="1"/>
  <c r="F244" i="1"/>
  <c r="E244" i="1"/>
  <c r="D244" i="1"/>
  <c r="C244" i="1"/>
  <c r="B244" i="1"/>
  <c r="H243" i="1"/>
  <c r="G243" i="1"/>
  <c r="F243" i="1"/>
  <c r="E243" i="1"/>
  <c r="D243" i="1"/>
  <c r="C243" i="1"/>
  <c r="B243" i="1"/>
  <c r="H239" i="1"/>
  <c r="G239" i="1"/>
  <c r="F239" i="1"/>
  <c r="E239" i="1"/>
  <c r="D239" i="1"/>
  <c r="C239" i="1"/>
  <c r="B239" i="1"/>
  <c r="H238" i="1"/>
  <c r="G238" i="1"/>
  <c r="F238" i="1"/>
  <c r="E238" i="1"/>
  <c r="D238" i="1"/>
  <c r="C238" i="1"/>
  <c r="B238" i="1"/>
  <c r="H237" i="1"/>
  <c r="G237" i="1"/>
  <c r="F237" i="1"/>
  <c r="E237" i="1"/>
  <c r="D237" i="1"/>
  <c r="C237" i="1"/>
  <c r="B237" i="1"/>
  <c r="H236" i="1"/>
  <c r="G236" i="1"/>
  <c r="F236" i="1"/>
  <c r="E236" i="1"/>
  <c r="D236" i="1"/>
  <c r="C236" i="1"/>
  <c r="B236" i="1"/>
  <c r="H235" i="1"/>
  <c r="G235" i="1"/>
  <c r="F235" i="1"/>
  <c r="E235" i="1"/>
  <c r="D235" i="1"/>
  <c r="C235" i="1"/>
  <c r="B235" i="1"/>
  <c r="H234" i="1"/>
  <c r="G234" i="1"/>
  <c r="F234" i="1"/>
  <c r="E234" i="1"/>
  <c r="D234" i="1"/>
  <c r="C234" i="1"/>
  <c r="B234" i="1"/>
  <c r="H233" i="1"/>
  <c r="G233" i="1"/>
  <c r="F233" i="1"/>
  <c r="E233" i="1"/>
  <c r="D233" i="1"/>
  <c r="C233" i="1"/>
  <c r="B233" i="1"/>
  <c r="H232" i="1"/>
  <c r="G232" i="1"/>
  <c r="F232" i="1"/>
  <c r="E232" i="1"/>
  <c r="D232" i="1"/>
  <c r="C232" i="1"/>
  <c r="B232" i="1"/>
  <c r="H231" i="1"/>
  <c r="G231" i="1"/>
  <c r="F231" i="1"/>
  <c r="E231" i="1"/>
  <c r="D231" i="1"/>
  <c r="C231" i="1"/>
  <c r="B231" i="1"/>
  <c r="H230" i="1"/>
  <c r="G230" i="1"/>
  <c r="F230" i="1"/>
  <c r="E230" i="1"/>
  <c r="D230" i="1"/>
  <c r="C230" i="1"/>
  <c r="B230" i="1"/>
  <c r="H229" i="1"/>
  <c r="G229" i="1"/>
  <c r="F229" i="1"/>
  <c r="E229" i="1"/>
  <c r="D229" i="1"/>
  <c r="C229" i="1"/>
  <c r="B229" i="1"/>
  <c r="H228" i="1"/>
  <c r="G228" i="1"/>
  <c r="F228" i="1"/>
  <c r="E228" i="1"/>
  <c r="D228" i="1"/>
  <c r="C228" i="1"/>
  <c r="B228" i="1"/>
  <c r="H227" i="1"/>
  <c r="G227" i="1"/>
  <c r="F227" i="1"/>
  <c r="E227" i="1"/>
  <c r="D227" i="1"/>
  <c r="C227" i="1"/>
  <c r="B227" i="1"/>
  <c r="H226" i="1"/>
  <c r="G226" i="1"/>
  <c r="F226" i="1"/>
  <c r="E226" i="1"/>
  <c r="D226" i="1"/>
  <c r="C226" i="1"/>
  <c r="B226" i="1"/>
  <c r="H225" i="1"/>
  <c r="G225" i="1"/>
  <c r="F225" i="1"/>
  <c r="E225" i="1"/>
  <c r="D225" i="1"/>
  <c r="C225" i="1"/>
  <c r="B225" i="1"/>
  <c r="H224" i="1"/>
  <c r="G224" i="1"/>
  <c r="F224" i="1"/>
  <c r="E224" i="1"/>
  <c r="D224" i="1"/>
  <c r="C224" i="1"/>
  <c r="B224" i="1"/>
  <c r="H223" i="1"/>
  <c r="G223" i="1"/>
  <c r="F223" i="1"/>
  <c r="E223" i="1"/>
  <c r="D223" i="1"/>
  <c r="C223" i="1"/>
  <c r="B223" i="1"/>
  <c r="H221" i="1"/>
  <c r="G221" i="1"/>
  <c r="F221" i="1"/>
  <c r="E221" i="1"/>
  <c r="D221" i="1"/>
  <c r="C221" i="1"/>
  <c r="B221" i="1"/>
  <c r="H220" i="1"/>
  <c r="G220" i="1"/>
  <c r="F220" i="1"/>
  <c r="E220" i="1"/>
  <c r="D220" i="1"/>
  <c r="C220" i="1"/>
  <c r="B220" i="1"/>
  <c r="H219" i="1"/>
  <c r="G219" i="1"/>
  <c r="F219" i="1"/>
  <c r="E219" i="1"/>
  <c r="D219" i="1"/>
  <c r="C219" i="1"/>
  <c r="B219" i="1"/>
  <c r="H217" i="1"/>
  <c r="G217" i="1"/>
  <c r="F217" i="1"/>
  <c r="E217" i="1"/>
  <c r="D217" i="1"/>
  <c r="C217" i="1"/>
  <c r="B217" i="1"/>
  <c r="H216" i="1"/>
  <c r="G216" i="1"/>
  <c r="F216" i="1"/>
  <c r="E216" i="1"/>
  <c r="D216" i="1"/>
  <c r="C216" i="1"/>
  <c r="B216" i="1"/>
  <c r="H215" i="1"/>
  <c r="G215" i="1"/>
  <c r="F215" i="1"/>
  <c r="E215" i="1"/>
  <c r="D215" i="1"/>
  <c r="C215" i="1"/>
  <c r="B215" i="1"/>
  <c r="H214" i="1"/>
  <c r="G214" i="1"/>
  <c r="F214" i="1"/>
  <c r="E214" i="1"/>
  <c r="D214" i="1"/>
  <c r="C214" i="1"/>
  <c r="B214" i="1"/>
  <c r="H213" i="1"/>
  <c r="G213" i="1"/>
  <c r="F213" i="1"/>
  <c r="E213" i="1"/>
  <c r="D213" i="1"/>
  <c r="C213" i="1"/>
  <c r="B213" i="1"/>
  <c r="H212" i="1"/>
  <c r="G212" i="1"/>
  <c r="F212" i="1"/>
  <c r="E212" i="1"/>
  <c r="D212" i="1"/>
  <c r="C212" i="1"/>
  <c r="B212" i="1"/>
  <c r="H211" i="1"/>
  <c r="G211" i="1"/>
  <c r="F211" i="1"/>
  <c r="E211" i="1"/>
  <c r="D211" i="1"/>
  <c r="C211" i="1"/>
  <c r="B211" i="1"/>
  <c r="H210" i="1"/>
  <c r="G210" i="1"/>
  <c r="F210" i="1"/>
  <c r="E210" i="1"/>
  <c r="D210" i="1"/>
  <c r="C210" i="1"/>
  <c r="B210" i="1"/>
  <c r="H209" i="1"/>
  <c r="G209" i="1"/>
  <c r="F209" i="1"/>
  <c r="E209" i="1"/>
  <c r="D209" i="1"/>
  <c r="C209" i="1"/>
  <c r="B209" i="1"/>
  <c r="H208" i="1"/>
  <c r="G208" i="1"/>
  <c r="F208" i="1"/>
  <c r="E208" i="1"/>
  <c r="D208" i="1"/>
  <c r="C208" i="1"/>
  <c r="B208" i="1"/>
  <c r="H207" i="1"/>
  <c r="G207" i="1"/>
  <c r="F207" i="1"/>
  <c r="E207" i="1"/>
  <c r="D207" i="1"/>
  <c r="C207" i="1"/>
  <c r="B207" i="1"/>
  <c r="H206" i="1"/>
  <c r="G206" i="1"/>
  <c r="F206" i="1"/>
  <c r="E206" i="1"/>
  <c r="D206" i="1"/>
  <c r="C206" i="1"/>
  <c r="B206" i="1"/>
  <c r="H201" i="1"/>
  <c r="G201" i="1"/>
  <c r="F201" i="1"/>
  <c r="E201" i="1"/>
  <c r="D201" i="1"/>
  <c r="C201" i="1"/>
  <c r="B201" i="1"/>
  <c r="H200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H198" i="1"/>
  <c r="G198" i="1"/>
  <c r="F198" i="1"/>
  <c r="E198" i="1"/>
  <c r="D198" i="1"/>
  <c r="C198" i="1"/>
  <c r="B198" i="1"/>
  <c r="H197" i="1"/>
  <c r="G197" i="1"/>
  <c r="F197" i="1"/>
  <c r="E197" i="1"/>
  <c r="D197" i="1"/>
  <c r="C197" i="1"/>
  <c r="B197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69" i="1"/>
  <c r="G169" i="1"/>
  <c r="F169" i="1"/>
  <c r="E169" i="1"/>
  <c r="D169" i="1"/>
  <c r="C169" i="1"/>
  <c r="B169" i="1"/>
  <c r="H168" i="1"/>
  <c r="G168" i="1"/>
  <c r="F168" i="1"/>
  <c r="E168" i="1"/>
  <c r="D168" i="1"/>
  <c r="C168" i="1"/>
  <c r="B168" i="1"/>
  <c r="H167" i="1"/>
  <c r="G167" i="1"/>
  <c r="F167" i="1"/>
  <c r="E167" i="1"/>
  <c r="D167" i="1"/>
  <c r="C167" i="1"/>
  <c r="B167" i="1"/>
  <c r="H166" i="1"/>
  <c r="G166" i="1"/>
  <c r="F166" i="1"/>
  <c r="E166" i="1"/>
  <c r="D166" i="1"/>
  <c r="C166" i="1"/>
  <c r="B166" i="1"/>
  <c r="H165" i="1"/>
  <c r="G165" i="1"/>
  <c r="F165" i="1"/>
  <c r="E165" i="1"/>
  <c r="D165" i="1"/>
  <c r="C165" i="1"/>
  <c r="B165" i="1"/>
  <c r="H164" i="1"/>
  <c r="G164" i="1"/>
  <c r="F164" i="1"/>
  <c r="E164" i="1"/>
  <c r="D164" i="1"/>
  <c r="C164" i="1"/>
  <c r="B164" i="1"/>
  <c r="H163" i="1"/>
  <c r="G163" i="1"/>
  <c r="F163" i="1"/>
  <c r="E163" i="1"/>
  <c r="D163" i="1"/>
  <c r="C163" i="1"/>
  <c r="B163" i="1"/>
  <c r="H162" i="1"/>
  <c r="G162" i="1"/>
  <c r="F162" i="1"/>
  <c r="E162" i="1"/>
  <c r="D162" i="1"/>
  <c r="C162" i="1"/>
  <c r="B162" i="1"/>
  <c r="H161" i="1"/>
  <c r="G161" i="1"/>
  <c r="F161" i="1"/>
  <c r="E161" i="1"/>
  <c r="D161" i="1"/>
  <c r="C161" i="1"/>
  <c r="B161" i="1"/>
  <c r="H160" i="1"/>
  <c r="G160" i="1"/>
  <c r="F160" i="1"/>
  <c r="E160" i="1"/>
  <c r="D160" i="1"/>
  <c r="C160" i="1"/>
  <c r="B160" i="1"/>
  <c r="H159" i="1"/>
  <c r="G159" i="1"/>
  <c r="F159" i="1"/>
  <c r="E159" i="1"/>
  <c r="D159" i="1"/>
  <c r="C159" i="1"/>
  <c r="B159" i="1"/>
  <c r="H158" i="1"/>
  <c r="G158" i="1"/>
  <c r="F158" i="1"/>
  <c r="E158" i="1"/>
  <c r="D158" i="1"/>
  <c r="C158" i="1"/>
  <c r="B158" i="1"/>
  <c r="H157" i="1"/>
  <c r="G157" i="1"/>
  <c r="F157" i="1"/>
  <c r="E157" i="1"/>
  <c r="D157" i="1"/>
  <c r="C157" i="1"/>
  <c r="B157" i="1"/>
  <c r="H156" i="1"/>
  <c r="G156" i="1"/>
  <c r="F156" i="1"/>
  <c r="E156" i="1"/>
  <c r="D156" i="1"/>
  <c r="C156" i="1"/>
  <c r="B156" i="1"/>
  <c r="H155" i="1"/>
  <c r="G155" i="1"/>
  <c r="F155" i="1"/>
  <c r="E155" i="1"/>
  <c r="D155" i="1"/>
  <c r="C155" i="1"/>
  <c r="B155" i="1"/>
  <c r="H154" i="1"/>
  <c r="G154" i="1"/>
  <c r="F154" i="1"/>
  <c r="E154" i="1"/>
  <c r="D154" i="1"/>
  <c r="C154" i="1"/>
  <c r="B154" i="1"/>
  <c r="H147" i="1"/>
  <c r="G147" i="1"/>
  <c r="F147" i="1"/>
  <c r="E147" i="1"/>
  <c r="D147" i="1"/>
  <c r="C147" i="1"/>
  <c r="B147" i="1"/>
  <c r="H146" i="1"/>
  <c r="G146" i="1"/>
  <c r="F146" i="1"/>
  <c r="E146" i="1"/>
  <c r="D146" i="1"/>
  <c r="C146" i="1"/>
  <c r="B146" i="1"/>
  <c r="H145" i="1"/>
  <c r="G145" i="1"/>
  <c r="F145" i="1"/>
  <c r="E145" i="1"/>
  <c r="D145" i="1"/>
  <c r="C145" i="1"/>
  <c r="B145" i="1"/>
  <c r="H144" i="1"/>
  <c r="G144" i="1"/>
  <c r="F144" i="1"/>
  <c r="E144" i="1"/>
  <c r="D144" i="1"/>
  <c r="C144" i="1"/>
  <c r="B144" i="1"/>
  <c r="H143" i="1"/>
  <c r="G143" i="1"/>
  <c r="F143" i="1"/>
  <c r="E143" i="1"/>
  <c r="D143" i="1"/>
  <c r="C143" i="1"/>
  <c r="B143" i="1"/>
  <c r="H142" i="1"/>
  <c r="G142" i="1"/>
  <c r="F142" i="1"/>
  <c r="E142" i="1"/>
  <c r="D142" i="1"/>
  <c r="C142" i="1"/>
  <c r="B142" i="1"/>
  <c r="H136" i="1"/>
  <c r="G136" i="1"/>
  <c r="F136" i="1"/>
  <c r="E136" i="1"/>
  <c r="D136" i="1"/>
  <c r="C136" i="1"/>
  <c r="B136" i="1"/>
  <c r="H135" i="1"/>
  <c r="G135" i="1"/>
  <c r="F135" i="1"/>
  <c r="E135" i="1"/>
  <c r="D135" i="1"/>
  <c r="C135" i="1"/>
  <c r="B135" i="1"/>
  <c r="H134" i="1"/>
  <c r="G134" i="1"/>
  <c r="F134" i="1"/>
  <c r="E134" i="1"/>
  <c r="D134" i="1"/>
  <c r="C134" i="1"/>
  <c r="B134" i="1"/>
  <c r="H133" i="1"/>
  <c r="G133" i="1"/>
  <c r="F133" i="1"/>
  <c r="E133" i="1"/>
  <c r="D133" i="1"/>
  <c r="C133" i="1"/>
  <c r="B133" i="1"/>
  <c r="H132" i="1"/>
  <c r="G132" i="1"/>
  <c r="F132" i="1"/>
  <c r="E132" i="1"/>
  <c r="D132" i="1"/>
  <c r="C132" i="1"/>
  <c r="B132" i="1"/>
  <c r="H131" i="1"/>
  <c r="G131" i="1"/>
  <c r="F131" i="1"/>
  <c r="E131" i="1"/>
  <c r="D131" i="1"/>
  <c r="C131" i="1"/>
  <c r="B131" i="1"/>
  <c r="H129" i="1"/>
  <c r="G129" i="1"/>
  <c r="F129" i="1"/>
  <c r="E129" i="1"/>
  <c r="D129" i="1"/>
  <c r="C129" i="1"/>
  <c r="B129" i="1"/>
  <c r="H127" i="1"/>
  <c r="G127" i="1"/>
  <c r="F127" i="1"/>
  <c r="E127" i="1"/>
  <c r="D127" i="1"/>
  <c r="C127" i="1"/>
  <c r="B127" i="1"/>
  <c r="H125" i="1"/>
  <c r="G125" i="1"/>
  <c r="F125" i="1"/>
  <c r="E125" i="1"/>
  <c r="D125" i="1"/>
  <c r="C125" i="1"/>
  <c r="B125" i="1"/>
  <c r="H124" i="1"/>
  <c r="G124" i="1"/>
  <c r="F124" i="1"/>
  <c r="E124" i="1"/>
  <c r="D124" i="1"/>
  <c r="C124" i="1"/>
  <c r="B124" i="1"/>
  <c r="H123" i="1"/>
  <c r="G123" i="1"/>
  <c r="F123" i="1"/>
  <c r="E123" i="1"/>
  <c r="D123" i="1"/>
  <c r="C123" i="1"/>
  <c r="B123" i="1"/>
  <c r="H122" i="1"/>
  <c r="G122" i="1"/>
  <c r="F122" i="1"/>
  <c r="E122" i="1"/>
  <c r="D122" i="1"/>
  <c r="C122" i="1"/>
  <c r="B122" i="1"/>
  <c r="H116" i="1"/>
  <c r="G116" i="1"/>
  <c r="F116" i="1"/>
  <c r="E116" i="1"/>
  <c r="D116" i="1"/>
  <c r="C116" i="1"/>
  <c r="B116" i="1"/>
  <c r="H115" i="1"/>
  <c r="G115" i="1"/>
  <c r="F115" i="1"/>
  <c r="E115" i="1"/>
  <c r="D115" i="1"/>
  <c r="C115" i="1"/>
  <c r="B115" i="1"/>
  <c r="H114" i="1"/>
  <c r="G114" i="1"/>
  <c r="F114" i="1"/>
  <c r="E114" i="1"/>
  <c r="D114" i="1"/>
  <c r="C114" i="1"/>
  <c r="B114" i="1"/>
  <c r="H113" i="1"/>
  <c r="G113" i="1"/>
  <c r="F113" i="1"/>
  <c r="E113" i="1"/>
  <c r="D113" i="1"/>
  <c r="C113" i="1"/>
  <c r="B113" i="1"/>
  <c r="H112" i="1"/>
  <c r="G112" i="1"/>
  <c r="F112" i="1"/>
  <c r="E112" i="1"/>
  <c r="D112" i="1"/>
  <c r="C112" i="1"/>
  <c r="B112" i="1"/>
  <c r="H111" i="1"/>
  <c r="G111" i="1"/>
  <c r="F111" i="1"/>
  <c r="E111" i="1"/>
  <c r="D111" i="1"/>
  <c r="C111" i="1"/>
  <c r="B111" i="1"/>
  <c r="H110" i="1"/>
  <c r="G110" i="1"/>
  <c r="F110" i="1"/>
  <c r="E110" i="1"/>
  <c r="D110" i="1"/>
  <c r="C110" i="1"/>
  <c r="B110" i="1"/>
  <c r="H109" i="1"/>
  <c r="G109" i="1"/>
  <c r="F109" i="1"/>
  <c r="E109" i="1"/>
  <c r="D109" i="1"/>
  <c r="C109" i="1"/>
  <c r="B109" i="1"/>
  <c r="H108" i="1"/>
  <c r="G108" i="1"/>
  <c r="F108" i="1"/>
  <c r="E108" i="1"/>
  <c r="D108" i="1"/>
  <c r="C108" i="1"/>
  <c r="B108" i="1"/>
  <c r="H107" i="1"/>
  <c r="G107" i="1"/>
  <c r="F107" i="1"/>
  <c r="E107" i="1"/>
  <c r="D107" i="1"/>
  <c r="C107" i="1"/>
  <c r="B107" i="1"/>
  <c r="H106" i="1"/>
  <c r="G106" i="1"/>
  <c r="F106" i="1"/>
  <c r="E106" i="1"/>
  <c r="D106" i="1"/>
  <c r="C106" i="1"/>
  <c r="B106" i="1"/>
  <c r="H105" i="1"/>
  <c r="G105" i="1"/>
  <c r="F105" i="1"/>
  <c r="E105" i="1"/>
  <c r="D105" i="1"/>
  <c r="C105" i="1"/>
  <c r="B105" i="1"/>
  <c r="H104" i="1"/>
  <c r="G104" i="1"/>
  <c r="F104" i="1"/>
  <c r="E104" i="1"/>
  <c r="D104" i="1"/>
  <c r="C104" i="1"/>
  <c r="B104" i="1"/>
  <c r="H102" i="1"/>
  <c r="G102" i="1"/>
  <c r="F102" i="1"/>
  <c r="E102" i="1"/>
  <c r="D102" i="1"/>
  <c r="C102" i="1"/>
  <c r="B102" i="1"/>
  <c r="H101" i="1"/>
  <c r="G101" i="1"/>
  <c r="F101" i="1"/>
  <c r="E101" i="1"/>
  <c r="D101" i="1"/>
  <c r="C101" i="1"/>
  <c r="B101" i="1"/>
  <c r="H100" i="1"/>
  <c r="G100" i="1"/>
  <c r="F100" i="1"/>
  <c r="E100" i="1"/>
  <c r="D100" i="1"/>
  <c r="C100" i="1"/>
  <c r="B100" i="1"/>
  <c r="H99" i="1"/>
  <c r="G99" i="1"/>
  <c r="F99" i="1"/>
  <c r="E99" i="1"/>
  <c r="D99" i="1"/>
  <c r="C99" i="1"/>
  <c r="B99" i="1"/>
  <c r="H91" i="1"/>
  <c r="G91" i="1"/>
  <c r="F91" i="1"/>
  <c r="E91" i="1"/>
  <c r="D91" i="1"/>
  <c r="C91" i="1"/>
  <c r="B91" i="1"/>
  <c r="H90" i="1"/>
  <c r="G90" i="1"/>
  <c r="F90" i="1"/>
  <c r="E90" i="1"/>
  <c r="D90" i="1"/>
  <c r="C90" i="1"/>
  <c r="B90" i="1"/>
  <c r="H89" i="1"/>
  <c r="G89" i="1"/>
  <c r="F89" i="1"/>
  <c r="E89" i="1"/>
  <c r="D89" i="1"/>
  <c r="C89" i="1"/>
  <c r="B89" i="1"/>
  <c r="H88" i="1"/>
  <c r="G88" i="1"/>
  <c r="F88" i="1"/>
  <c r="E88" i="1"/>
  <c r="D88" i="1"/>
  <c r="C88" i="1"/>
  <c r="B88" i="1"/>
  <c r="H87" i="1"/>
  <c r="G87" i="1"/>
  <c r="F87" i="1"/>
  <c r="E87" i="1"/>
  <c r="D87" i="1"/>
  <c r="C87" i="1"/>
  <c r="B87" i="1"/>
  <c r="H86" i="1"/>
  <c r="G86" i="1"/>
  <c r="F86" i="1"/>
  <c r="E86" i="1"/>
  <c r="D86" i="1"/>
  <c r="C86" i="1"/>
  <c r="B86" i="1"/>
  <c r="H85" i="1"/>
  <c r="G85" i="1"/>
  <c r="F85" i="1"/>
  <c r="E85" i="1"/>
  <c r="D85" i="1"/>
  <c r="C85" i="1"/>
  <c r="B85" i="1"/>
  <c r="H84" i="1"/>
  <c r="G84" i="1"/>
  <c r="F84" i="1"/>
  <c r="E84" i="1"/>
  <c r="D84" i="1"/>
  <c r="C84" i="1"/>
  <c r="B84" i="1"/>
  <c r="H83" i="1"/>
  <c r="G83" i="1"/>
  <c r="F83" i="1"/>
  <c r="E83" i="1"/>
  <c r="D83" i="1"/>
  <c r="C83" i="1"/>
  <c r="B83" i="1"/>
  <c r="H82" i="1"/>
  <c r="G82" i="1"/>
  <c r="F82" i="1"/>
  <c r="E82" i="1"/>
  <c r="D82" i="1"/>
  <c r="C82" i="1"/>
  <c r="B82" i="1"/>
  <c r="H80" i="1"/>
  <c r="G80" i="1"/>
  <c r="F80" i="1"/>
  <c r="E80" i="1"/>
  <c r="D80" i="1"/>
  <c r="C80" i="1"/>
  <c r="B80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H76" i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  <c r="H70" i="1"/>
  <c r="G70" i="1"/>
  <c r="F70" i="1"/>
  <c r="E70" i="1"/>
  <c r="D70" i="1"/>
  <c r="C70" i="1"/>
  <c r="B70" i="1"/>
  <c r="H69" i="1"/>
  <c r="G69" i="1"/>
  <c r="F69" i="1"/>
  <c r="E69" i="1"/>
  <c r="D69" i="1"/>
  <c r="C69" i="1"/>
  <c r="B69" i="1"/>
  <c r="H68" i="1"/>
  <c r="G68" i="1"/>
  <c r="F68" i="1"/>
  <c r="E68" i="1"/>
  <c r="D68" i="1"/>
  <c r="C68" i="1"/>
  <c r="B68" i="1"/>
  <c r="H67" i="1"/>
  <c r="G67" i="1"/>
  <c r="F67" i="1"/>
  <c r="E67" i="1"/>
  <c r="D67" i="1"/>
  <c r="C67" i="1"/>
  <c r="B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<sst xmlns="http://schemas.openxmlformats.org/spreadsheetml/2006/main" count="651" uniqueCount="197">
  <si>
    <t>Manufacturer</t>
  </si>
  <si>
    <t>Comments</t>
  </si>
  <si>
    <t>End Date</t>
  </si>
  <si>
    <t>HCPCS Code</t>
  </si>
  <si>
    <t>Effective Date</t>
  </si>
  <si>
    <t>Product Name</t>
  </si>
  <si>
    <t>Model Number</t>
  </si>
  <si>
    <t/>
  </si>
  <si>
    <t>A9270</t>
  </si>
  <si>
    <t>Indicator</t>
  </si>
  <si>
    <t>A</t>
  </si>
  <si>
    <t>U</t>
  </si>
  <si>
    <t xml:space="preserve">DMECS Additions and Updates
Additions and Updates are in HCPCS Alphanumeric Order
</t>
  </si>
  <si>
    <t>PDG PRODUCT DESIGN GROUP INC</t>
  </si>
  <si>
    <t>CURE CATHETER PEDIATRIC HYDROPHILIC</t>
  </si>
  <si>
    <t>ANITA</t>
  </si>
  <si>
    <t>LISA</t>
  </si>
  <si>
    <t>ANNETTE</t>
  </si>
  <si>
    <t>LYNN</t>
  </si>
  <si>
    <t>CUTIMED SILTEC PLUS DRESSING 2" X 2.5"</t>
  </si>
  <si>
    <t>CUTIMED SILTEC PLUS HEEL (3D) DRESSING 6" X 9.5"</t>
  </si>
  <si>
    <t>LORETA</t>
  </si>
  <si>
    <t>I GOTCHA QUICK RELEASE WHEELCHAIR HARNESS</t>
  </si>
  <si>
    <t>ULTRA AURORA</t>
  </si>
  <si>
    <t>RC-CORNET</t>
  </si>
  <si>
    <t>SHOPRIDER XLR14-CS</t>
  </si>
  <si>
    <t>REHABILITATOR KNEE SLEEVE LARGE</t>
  </si>
  <si>
    <t>REHABILITATOR KNEE SLEEVE X-LARGE</t>
  </si>
  <si>
    <t>REHABILITATOR KNEE SLEEVE SMALL</t>
  </si>
  <si>
    <t>REHABILITATOR KNEE SLEEVE MEDIUM</t>
  </si>
  <si>
    <t>DEROYAL PROSPERA MINI NPWT PUMP</t>
  </si>
  <si>
    <t>PRO-MINI CANISTER 140ML</t>
  </si>
  <si>
    <t>PRO-MINI CANISTER 400ML</t>
  </si>
  <si>
    <t>PRO-MINI CANISTER 600ML</t>
  </si>
  <si>
    <t>SORBACT SURGICAL DRESSING 10 X 20 CM</t>
  </si>
  <si>
    <t>SORBACT SURGICAL DRESSING 5 X 7.2 CM</t>
  </si>
  <si>
    <t>SORBACT SURGICAL DRESSING 8 X 10 CM</t>
  </si>
  <si>
    <t>SORBACT SURGICAL DRESSING 8 X 15 CM</t>
  </si>
  <si>
    <t>SORBACT SURGICAL DRESSING 10 X 25 CM</t>
  </si>
  <si>
    <t>SORBACT SURGICAL DRESSING 10 X 35 CM</t>
  </si>
  <si>
    <t>SORBACT SURGICAL DRESSING 10 X 30 CM</t>
  </si>
  <si>
    <t>ROGUE XP</t>
  </si>
  <si>
    <t>ROGUE XPE</t>
  </si>
  <si>
    <t>ROGUE XP TTL</t>
  </si>
  <si>
    <t>LITTLE WAVE - CLIK XP</t>
  </si>
  <si>
    <t>LITTLE WAVE - CLIK XPE</t>
  </si>
  <si>
    <t>DYNAMIC BACK RECLINE</t>
  </si>
  <si>
    <t>STELLAR LEAP</t>
  </si>
  <si>
    <t>LEAP ANTERIOR TILT W/ LINKED RECLINE</t>
  </si>
  <si>
    <t>FREESTYLE NAVIGATOR GLUCOSE MONITORING SYSTEM</t>
  </si>
  <si>
    <t>FLEXITOUCH PLUS ADVANCED PNEUMATIC COMPRESSION SYSTEM</t>
  </si>
  <si>
    <t>FLEXITOUCH PLUS EXT LEFT HALF LEG GARMENT</t>
  </si>
  <si>
    <t>FLEXITOUCH PLUS EXT RIGHT HALF LEG GARMENT</t>
  </si>
  <si>
    <t>FLEXITOUCH PLUS EXT TRUNK - THIGH LEFT</t>
  </si>
  <si>
    <t>FLEXITOUCH PLUS EXT TRUNK - THIGH RIGHT</t>
  </si>
  <si>
    <t>FLEXITOUCH PLUS LARGE TRUNK</t>
  </si>
  <si>
    <t>FLEXITOUCH PLUS LONG LEFT ARM-SHOULDER GARMENT SIZE 1</t>
  </si>
  <si>
    <t>FLEXITOUCH PLUS LONG LEFT ARM-SHOULDER GARMENT SIZE 2</t>
  </si>
  <si>
    <t>FLEXITOUCH PLUS LONG LEFT ARM-SHOULDER GARMENT SIZE 3</t>
  </si>
  <si>
    <t>FLEXITOUCH PLUS LONG LEFT ARM-SHOULDER GARMENT SIZE 4</t>
  </si>
  <si>
    <t>FLEXITOUCH PLUS LONG LEFT FULL LEG GARMENT</t>
  </si>
  <si>
    <t>FLEXITOUCH PLUS LONG RIGHT ARM-SHOULDER GARMENT SIZE 1</t>
  </si>
  <si>
    <t>FLEXITOUCH PLUS LONG RIGHT ARM-SHOULDER GARMENT SIZE 2</t>
  </si>
  <si>
    <t>FLEXITOUCH PLUS LONG RIGHT ARM-SHOULDER GARMENT SIZE 3</t>
  </si>
  <si>
    <t>FLEXITOUCH PLUS LONG RIGHT ARM-SHOULDER GARMENT SIZE 4</t>
  </si>
  <si>
    <t>FLEXITOUCH PLUS LONG RIGHT FULL LEG GARMENT</t>
  </si>
  <si>
    <t>FLEXITOUCH PLUS MEDIUM LEFT FULL LEG GARMENT</t>
  </si>
  <si>
    <t>FLEXITOUCH PLUS MEDIUM RIGHT FULL LEG GARMENT</t>
  </si>
  <si>
    <t>FLEXITOUCH PLUS MEDIUM TRUNK</t>
  </si>
  <si>
    <t>FLEXITOUCH PLUS REG LEFT HALF LEG GARMENT</t>
  </si>
  <si>
    <t>FLEXITOUCH PLUS REG RIGHT HALF LEG GARMENT</t>
  </si>
  <si>
    <t>FLEXITOUCH PLUS SHORT LEFT ARM-SHOULDER GARMENT SIZE 1</t>
  </si>
  <si>
    <t>FLEXITOUCH PLUS SHORT LEFT ARM-SHOULDER GARMENT SIZE 2</t>
  </si>
  <si>
    <t>FLEXITOUCH PLUS SHORT LEFT ARM-SHOULDER GARMENT SIZE 3</t>
  </si>
  <si>
    <t>FLEXITOUCH PLUS SHORT LEFT ARM-SHOULDER GARMENT SIZE 4</t>
  </si>
  <si>
    <t>FLEXITOUCH PLUS SHORT LEFT FULL LEG GARMENT</t>
  </si>
  <si>
    <t>FLEXITOUCH PLUS SHORT RIGHT ARM-SHOULDER GARMENT SIZE 1</t>
  </si>
  <si>
    <t>FLEXITOUCH PLUS SHORT RIGHT ARM-SHOULDER GARMENT SIZE 2</t>
  </si>
  <si>
    <t>FLEXITOUCH PLUS SHORT RIGHT ARM-SHOULDER GARMENT SIZE 3</t>
  </si>
  <si>
    <t>FLEXITOUCH PLUS SHORT RIGHT ARM-SHOULDER GARMENT SIZE 4</t>
  </si>
  <si>
    <t>FLEXITOUCH PLUS SHORT RIGHT FULL LEG GARMENT</t>
  </si>
  <si>
    <t>FLEXITOUCH PLUS SMALL TRUNK</t>
  </si>
  <si>
    <t>ALLEVYN LIFE NON-BORDERED</t>
  </si>
  <si>
    <t>PEPTAMEN JUNIOR HP</t>
  </si>
  <si>
    <t>CURE MEDICAL</t>
  </si>
  <si>
    <t>B &amp; S PARTNERS INC (DBA PILGRIM SHOES)</t>
  </si>
  <si>
    <t>BSN MEDICAL INC</t>
  </si>
  <si>
    <t>SECURE MEDICAL ESSENTIALS LLC</t>
  </si>
  <si>
    <t>BREG INC</t>
  </si>
  <si>
    <t>MEDICA HOLDINGS LLC</t>
  </si>
  <si>
    <t>SHOPRIDER MOBILITY PRODUCTS INC / PIHSIANG MACHINERY MANUFACTURING COMPANY</t>
  </si>
  <si>
    <t>GUARDIAN BRACE INC</t>
  </si>
  <si>
    <t>DEROYAL INDUSTRIES INC</t>
  </si>
  <si>
    <t>INTEGRATED HEALING TECHNOLOGIES LLC</t>
  </si>
  <si>
    <t>KI MOBILITY</t>
  </si>
  <si>
    <t>ABBOTT DIABETES CARE</t>
  </si>
  <si>
    <t>TACTILE SYSTEMS TECHNOLOGY INC</t>
  </si>
  <si>
    <t>SMITH &amp; NEPHEW INC</t>
  </si>
  <si>
    <t>NESTLE HEALTHCARE NUTRITION INC</t>
  </si>
  <si>
    <t>HP10</t>
  </si>
  <si>
    <t>HP12</t>
  </si>
  <si>
    <t>HP14</t>
  </si>
  <si>
    <t>HP8</t>
  </si>
  <si>
    <t>P3137</t>
  </si>
  <si>
    <t>P3140</t>
  </si>
  <si>
    <t>D1206</t>
  </si>
  <si>
    <t>P3159</t>
  </si>
  <si>
    <t>73288-00</t>
  </si>
  <si>
    <t>73286-01</t>
  </si>
  <si>
    <t>P3166</t>
  </si>
  <si>
    <t>01-2017</t>
  </si>
  <si>
    <t>AURORA BLK-SM 01</t>
  </si>
  <si>
    <t>AURORA BLK-MED 01</t>
  </si>
  <si>
    <t>AURORA BLK-LRG 01</t>
  </si>
  <si>
    <t>44F50</t>
  </si>
  <si>
    <t>P424LE-CS</t>
  </si>
  <si>
    <t>KNS-3</t>
  </si>
  <si>
    <t>KNS-4</t>
  </si>
  <si>
    <t>KNS-1</t>
  </si>
  <si>
    <t>KNS-2</t>
  </si>
  <si>
    <t>NP-1000M-US</t>
  </si>
  <si>
    <t>NP-1140-US</t>
  </si>
  <si>
    <t>NP-1400-US</t>
  </si>
  <si>
    <t>NP-1600-US</t>
  </si>
  <si>
    <t>2201102</t>
  </si>
  <si>
    <t>2201000</t>
  </si>
  <si>
    <t>2201101</t>
  </si>
  <si>
    <t>PD32-G3</t>
  </si>
  <si>
    <t>3L-HL-XT-L</t>
  </si>
  <si>
    <t>3L-HL-XT-R</t>
  </si>
  <si>
    <t>3L-TR-XT-L</t>
  </si>
  <si>
    <t>3L-TR-XT-R</t>
  </si>
  <si>
    <t>3A-TR-LG-A</t>
  </si>
  <si>
    <t>3U-AS-L1-L</t>
  </si>
  <si>
    <t>3U-AS-L2-L</t>
  </si>
  <si>
    <t>3U-AS-L3-L</t>
  </si>
  <si>
    <t>3U-AS-L4-L</t>
  </si>
  <si>
    <t>3L-FL-LO-L</t>
  </si>
  <si>
    <t>3U-AS-L1-R</t>
  </si>
  <si>
    <t>3U-AS-L2-R</t>
  </si>
  <si>
    <t>3U-AS-L3-R</t>
  </si>
  <si>
    <t>3U-AS-L4-R</t>
  </si>
  <si>
    <t>3L-FL-LO-R</t>
  </si>
  <si>
    <t>3L-FL-MD-L</t>
  </si>
  <si>
    <t>3L-FL-MD-R</t>
  </si>
  <si>
    <t>3A-TR-MD-A</t>
  </si>
  <si>
    <t>3L-HL-RG-L</t>
  </si>
  <si>
    <t>3L-HL-RG-R</t>
  </si>
  <si>
    <t>3U-AS-S1-L</t>
  </si>
  <si>
    <t>3U-AS-S2-L</t>
  </si>
  <si>
    <t>3U-AS-S3-L</t>
  </si>
  <si>
    <t>3U-AS-S4-L</t>
  </si>
  <si>
    <t>3L-FL-SH-L</t>
  </si>
  <si>
    <t>3U-AS-S1-R</t>
  </si>
  <si>
    <t>3U-AS-S2-R</t>
  </si>
  <si>
    <t>3U-AS-S3-R</t>
  </si>
  <si>
    <t>3U-AS-S4-R</t>
  </si>
  <si>
    <t>3L-FL-SH-R</t>
  </si>
  <si>
    <t>3A-TR-SM-A</t>
  </si>
  <si>
    <t>66801748</t>
  </si>
  <si>
    <t>66801749</t>
  </si>
  <si>
    <t>66801751</t>
  </si>
  <si>
    <t>A4351</t>
  </si>
  <si>
    <t>A5500 OR L3217</t>
  </si>
  <si>
    <t>A6209</t>
  </si>
  <si>
    <t>A6210</t>
  </si>
  <si>
    <t>E0960</t>
  </si>
  <si>
    <t>A5500</t>
  </si>
  <si>
    <t>L1906</t>
  </si>
  <si>
    <t>E0484</t>
  </si>
  <si>
    <t>K0836</t>
  </si>
  <si>
    <t>L2397</t>
  </si>
  <si>
    <t>A9272</t>
  </si>
  <si>
    <t>A9900</t>
  </si>
  <si>
    <t>A6254</t>
  </si>
  <si>
    <t>A6255</t>
  </si>
  <si>
    <t>E1235 OR K0005</t>
  </si>
  <si>
    <t>NO HCPCS CODE ASSIGNED</t>
  </si>
  <si>
    <t>E1225</t>
  </si>
  <si>
    <t>E1233 OR NO HCPCS CODE ASSIGNED</t>
  </si>
  <si>
    <t>K0108</t>
  </si>
  <si>
    <t>A9276+A9277+A9278</t>
  </si>
  <si>
    <t>E0651</t>
  </si>
  <si>
    <t>E0669</t>
  </si>
  <si>
    <t>E0656</t>
  </si>
  <si>
    <t>E0668</t>
  </si>
  <si>
    <t>E0667</t>
  </si>
  <si>
    <t>A4649</t>
  </si>
  <si>
    <t>B4160</t>
  </si>
  <si>
    <t>10/02/2017</t>
  </si>
  <si>
    <t>10/04/2017</t>
  </si>
  <si>
    <t>10/17/2017</t>
  </si>
  <si>
    <t>MANUFACTURER DISCONTINUED PRODUCTION AS OF 6/30/17. BILLING ACCEPTABLE UNTIL EXPIRATION OF PRODUCT.</t>
  </si>
  <si>
    <t>USE K0005 WHEN PROVIDED WITH A SEAT WIDTH AND SEAT DEPTH OF 15" OR GREATER. USE E1235 WITH A SEAT WIDTH AND SEAT DEPTH LESS THAN 15".</t>
  </si>
  <si>
    <t>USE E1233 WHEN USED AS A PEDIATRIC CHAIR. USE NO HCPCS CODE ASSIGNED WHEN USED AS AN ADULT CHAIR AS PRODUCT IS INCOMPLETE.</t>
  </si>
  <si>
    <t xml:space="preserve">MANUFACTURER DISCONTINUED PRODUCTION AS OF 03/18/13. BILLING ACCEPTABLE UNTIL EXPIRATION OF PRODUCT </t>
  </si>
  <si>
    <t>ADD THE BO MODIFIER TO THE HCPCS CODE IF THE ENTERAL NUTRITION IS BEING ADMINISTERED ORALLY AND IS NOT BEING ADMINISTERED BY A FEEDING TUBE.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</si>
</sst>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3">
    <xf numFmtId="0" fontId="0" fillId="0" borderId="0" xfId="0"/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3" fillId="0" borderId="0" xfId="0" applyFont="1" applyFill="1" applyAlignment="1">
      <alignment horizontal="left" wrapText="1"/>
    </xf>
    <xf numFmtId="0" fontId="3" fillId="0" borderId="3" xfId="0" applyFont="1" applyFill="1" applyBorder="1" applyAlignment="1">
      <alignment horizontal="left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123825</xdr:rowOff>
    </xdr:from>
    <xdr:to>
      <xdr:col>2</xdr:col>
      <xdr:colOff>2239377</xdr:colOff>
      <xdr:row>4</xdr:row>
      <xdr:rowOff>95249</xdr:rowOff>
    </xdr:to>
    <xdr:pic>
      <xdr:nvPicPr>
        <xdr:cNvPr id="2" name="Picture 1" descr="Noridian Healthcare Solutions logo." title="Noridian Healthcare Solutions">
          <a:extLst>
            <a:ext uri="{FF2B5EF4-FFF2-40B4-BE49-F238E27FC236}">
              <a16:creationId xmlns:a16="http://schemas.microsoft.com/office/drawing/2014/main" id="{1A5B5F41-C6AD-4AA8-9238-D6872AE0A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675" y="123825"/>
          <a:ext cx="1829802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tabSelected="1" workbookViewId="0">
      <pane ySplit="6" topLeftCell="A7" activePane="bottomLeft" state="frozen"/>
      <selection pane="bottomLeft" activeCell="B10" sqref="B10"/>
    </sheetView>
  </sheetViews>
  <sheetFormatPr defaultRowHeight="12.75" x14ac:dyDescent="0.2"/>
  <cols>
    <col min="1" max="1" width="12.140625" style="5" customWidth="1"/>
    <col min="2" max="2" width="79.85546875" style="5" customWidth="1"/>
    <col min="3" max="3" width="48" style="5" customWidth="1"/>
    <col min="4" max="4" width="30.28515625" style="5" customWidth="1"/>
    <col min="5" max="5" width="26.7109375" style="5" customWidth="1"/>
    <col min="6" max="7" width="18.42578125" style="5" customWidth="1"/>
    <col min="8" max="8" width="111.42578125" style="5" bestFit="1" customWidth="1"/>
    <col min="9" max="16384" width="9.140625" style="5"/>
  </cols>
  <sheetData>
    <row r="1" spans="1:8" ht="14.25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</row>
    <row r="2" spans="1:8" ht="14.25" customHeight="1" x14ac:dyDescent="0.2">
      <c r="A2" s="11"/>
      <c r="B2" s="11"/>
      <c r="C2" s="11"/>
      <c r="D2" s="11"/>
      <c r="E2" s="11"/>
      <c r="F2" s="11"/>
      <c r="G2" s="11"/>
      <c r="H2" s="11"/>
    </row>
    <row r="3" spans="1:8" ht="14.25" customHeight="1" x14ac:dyDescent="0.2">
      <c r="A3" s="11"/>
      <c r="B3" s="11"/>
      <c r="C3" s="11"/>
      <c r="D3" s="11"/>
      <c r="E3" s="11"/>
      <c r="F3" s="11"/>
      <c r="G3" s="11"/>
      <c r="H3" s="11"/>
    </row>
    <row r="4" spans="1:8" ht="14.25" customHeight="1" x14ac:dyDescent="0.2">
      <c r="A4" s="11"/>
      <c r="B4" s="11"/>
      <c r="C4" s="11"/>
      <c r="D4" s="11"/>
      <c r="E4" s="11"/>
      <c r="F4" s="11"/>
      <c r="G4" s="11"/>
      <c r="H4" s="11"/>
    </row>
    <row r="5" spans="1:8" ht="14.25" customHeight="1" x14ac:dyDescent="0.2">
      <c r="A5" s="12"/>
      <c r="B5" s="12"/>
      <c r="C5" s="12"/>
      <c r="D5" s="12"/>
      <c r="E5" s="12"/>
      <c r="F5" s="12"/>
      <c r="G5" s="12"/>
      <c r="H5" s="12"/>
    </row>
    <row r="6" spans="1:8" s="8" customFormat="1" x14ac:dyDescent="0.2">
      <c r="A6" s="6" t="s">
        <v>9</v>
      </c>
      <c r="B6" s="7" t="s">
        <v>5</v>
      </c>
      <c r="C6" s="7" t="s">
        <v>0</v>
      </c>
      <c r="D6" s="7" t="s">
        <v>6</v>
      </c>
      <c r="E6" s="7" t="s">
        <v>3</v>
      </c>
      <c r="F6" s="7" t="s">
        <v>4</v>
      </c>
      <c r="G6" s="7" t="s">
        <v>2</v>
      </c>
      <c r="H6" s="7" t="s">
        <v>1</v>
      </c>
    </row>
    <row r="7" spans="1:8" x14ac:dyDescent="0.2">
      <c r="A7" s="3" t="s">
        <v>10</v>
      </c>
      <c r="B7" s="9" t="str">
        <f>T("ALCOHOL WIPE")</f>
        <v>ALCOHOL WIPE</v>
      </c>
      <c r="C7" s="9" t="str">
        <f>T("MEDLINE INDUSTRIES INC")</f>
        <v>MEDLINE INDUSTRIES INC</v>
      </c>
      <c r="D7" s="1" t="str">
        <f>T("MDS090711")</f>
        <v>MDS090711</v>
      </c>
      <c r="E7" s="1" t="str">
        <f>T("A4245")</f>
        <v>A4245</v>
      </c>
      <c r="F7" s="1" t="str">
        <f>T("10/10/2017")</f>
        <v>10/10/2017</v>
      </c>
      <c r="G7" s="1" t="str">
        <f>T("")</f>
        <v/>
      </c>
      <c r="H7" s="9" t="str">
        <f>T("")</f>
        <v/>
      </c>
    </row>
    <row r="8" spans="1:8" x14ac:dyDescent="0.2">
      <c r="A8" s="3" t="s">
        <v>10</v>
      </c>
      <c r="B8" s="9" t="s">
        <v>14</v>
      </c>
      <c r="C8" s="9" t="s">
        <v>84</v>
      </c>
      <c r="D8" s="1" t="s">
        <v>99</v>
      </c>
      <c r="E8" s="1" t="s">
        <v>162</v>
      </c>
      <c r="F8" s="1" t="s">
        <v>189</v>
      </c>
      <c r="G8" s="1" t="s">
        <v>7</v>
      </c>
      <c r="H8" s="9" t="s">
        <v>7</v>
      </c>
    </row>
    <row r="9" spans="1:8" x14ac:dyDescent="0.2">
      <c r="A9" s="3" t="s">
        <v>10</v>
      </c>
      <c r="B9" s="9" t="s">
        <v>14</v>
      </c>
      <c r="C9" s="9" t="s">
        <v>84</v>
      </c>
      <c r="D9" s="1" t="s">
        <v>100</v>
      </c>
      <c r="E9" s="1" t="s">
        <v>162</v>
      </c>
      <c r="F9" s="1" t="s">
        <v>189</v>
      </c>
      <c r="G9" s="1" t="s">
        <v>7</v>
      </c>
      <c r="H9" s="9" t="s">
        <v>7</v>
      </c>
    </row>
    <row r="10" spans="1:8" x14ac:dyDescent="0.2">
      <c r="A10" s="3" t="s">
        <v>10</v>
      </c>
      <c r="B10" s="9" t="s">
        <v>14</v>
      </c>
      <c r="C10" s="9" t="s">
        <v>84</v>
      </c>
      <c r="D10" s="1" t="s">
        <v>101</v>
      </c>
      <c r="E10" s="1" t="s">
        <v>162</v>
      </c>
      <c r="F10" s="1" t="s">
        <v>189</v>
      </c>
      <c r="G10" s="1" t="s">
        <v>7</v>
      </c>
      <c r="H10" s="9" t="s">
        <v>7</v>
      </c>
    </row>
    <row r="11" spans="1:8" x14ac:dyDescent="0.2">
      <c r="A11" s="3" t="s">
        <v>10</v>
      </c>
      <c r="B11" s="9" t="s">
        <v>14</v>
      </c>
      <c r="C11" s="9" t="s">
        <v>84</v>
      </c>
      <c r="D11" s="1" t="s">
        <v>102</v>
      </c>
      <c r="E11" s="1" t="s">
        <v>162</v>
      </c>
      <c r="F11" s="1" t="s">
        <v>189</v>
      </c>
      <c r="G11" s="1" t="s">
        <v>7</v>
      </c>
      <c r="H11" s="9" t="s">
        <v>7</v>
      </c>
    </row>
    <row r="12" spans="1:8" x14ac:dyDescent="0.2">
      <c r="A12" s="3" t="s">
        <v>10</v>
      </c>
      <c r="B12" s="9" t="str">
        <f>T("AIR ANKLE SLEEVE")</f>
        <v>AIR ANKLE SLEEVE</v>
      </c>
      <c r="C12" s="9" t="str">
        <f>T("ELITE ORTHOPAEDICS INC")</f>
        <v>ELITE ORTHOPAEDICS INC</v>
      </c>
      <c r="D12" s="1" t="str">
        <f>T("T59422(S)")</f>
        <v>T59422(S)</v>
      </c>
      <c r="E12" s="1" t="str">
        <f>T("A4467")</f>
        <v>A4467</v>
      </c>
      <c r="F12" s="1" t="str">
        <f>T("10/31/2017")</f>
        <v>10/31/2017</v>
      </c>
      <c r="G12" s="1" t="str">
        <f t="shared" ref="G12:H19" si="0">T("")</f>
        <v/>
      </c>
      <c r="H12" s="9" t="str">
        <f t="shared" si="0"/>
        <v/>
      </c>
    </row>
    <row r="13" spans="1:8" x14ac:dyDescent="0.2">
      <c r="A13" s="3" t="s">
        <v>10</v>
      </c>
      <c r="B13" s="9" t="str">
        <f>T("AIR ANKLE SLEEVE")</f>
        <v>AIR ANKLE SLEEVE</v>
      </c>
      <c r="C13" s="9" t="str">
        <f>T("ELITE ORTHOPAEDICS INC")</f>
        <v>ELITE ORTHOPAEDICS INC</v>
      </c>
      <c r="D13" s="1" t="str">
        <f>T("T59424(M)")</f>
        <v>T59424(M)</v>
      </c>
      <c r="E13" s="1" t="str">
        <f>T("A4467")</f>
        <v>A4467</v>
      </c>
      <c r="F13" s="1" t="str">
        <f>T("10/31/2017")</f>
        <v>10/31/2017</v>
      </c>
      <c r="G13" s="1" t="str">
        <f t="shared" si="0"/>
        <v/>
      </c>
      <c r="H13" s="9" t="str">
        <f t="shared" si="0"/>
        <v/>
      </c>
    </row>
    <row r="14" spans="1:8" x14ac:dyDescent="0.2">
      <c r="A14" s="3" t="s">
        <v>10</v>
      </c>
      <c r="B14" s="9" t="str">
        <f>T("AIR ANKLE SLEEVE")</f>
        <v>AIR ANKLE SLEEVE</v>
      </c>
      <c r="C14" s="9" t="str">
        <f>T("ELITE ORTHOPAEDICS INC")</f>
        <v>ELITE ORTHOPAEDICS INC</v>
      </c>
      <c r="D14" s="1" t="str">
        <f>T("T59426(L)")</f>
        <v>T59426(L)</v>
      </c>
      <c r="E14" s="1" t="str">
        <f>T("A4467")</f>
        <v>A4467</v>
      </c>
      <c r="F14" s="1" t="str">
        <f>T("10/31/2017")</f>
        <v>10/31/2017</v>
      </c>
      <c r="G14" s="1" t="str">
        <f t="shared" si="0"/>
        <v/>
      </c>
      <c r="H14" s="9" t="str">
        <f t="shared" si="0"/>
        <v/>
      </c>
    </row>
    <row r="15" spans="1:8" ht="15.75" customHeight="1" x14ac:dyDescent="0.2">
      <c r="A15" s="3" t="s">
        <v>10</v>
      </c>
      <c r="B15" s="9" t="str">
        <f>T("AIR ANKLE SLEEVE")</f>
        <v>AIR ANKLE SLEEVE</v>
      </c>
      <c r="C15" s="9" t="str">
        <f>T("ELITE ORTHOPAEDICS INC")</f>
        <v>ELITE ORTHOPAEDICS INC</v>
      </c>
      <c r="D15" s="1" t="str">
        <f>T("T59428(XL)")</f>
        <v>T59428(XL)</v>
      </c>
      <c r="E15" s="1" t="str">
        <f>T("A4467")</f>
        <v>A4467</v>
      </c>
      <c r="F15" s="1" t="str">
        <f>T("10/31/2017")</f>
        <v>10/31/2017</v>
      </c>
      <c r="G15" s="1" t="str">
        <f t="shared" si="0"/>
        <v/>
      </c>
      <c r="H15" s="9" t="str">
        <f t="shared" si="0"/>
        <v/>
      </c>
    </row>
    <row r="16" spans="1:8" ht="15.75" customHeight="1" x14ac:dyDescent="0.2">
      <c r="A16" s="3" t="s">
        <v>10</v>
      </c>
      <c r="B16" s="9" t="str">
        <f>T("BORDERED SILICONE FOAM DRESSING 3"" X 3""")</f>
        <v>BORDERED SILICONE FOAM DRESSING 3" X 3"</v>
      </c>
      <c r="C16" s="9" t="str">
        <f>T("HEALQU LLC")</f>
        <v>HEALQU LLC</v>
      </c>
      <c r="D16" s="1" t="str">
        <f>T("9020504")</f>
        <v>9020504</v>
      </c>
      <c r="E16" s="1" t="str">
        <f>T("A4649")</f>
        <v>A4649</v>
      </c>
      <c r="F16" s="1" t="str">
        <f>T("10/23/2017")</f>
        <v>10/23/2017</v>
      </c>
      <c r="G16" s="1" t="str">
        <f t="shared" si="0"/>
        <v/>
      </c>
      <c r="H16" s="9" t="str">
        <f t="shared" si="0"/>
        <v/>
      </c>
    </row>
    <row r="17" spans="1:8" ht="15.75" customHeight="1" x14ac:dyDescent="0.2">
      <c r="A17" s="3" t="s">
        <v>10</v>
      </c>
      <c r="B17" s="9" t="str">
        <f>T("BORDERED SILICONE FOAM DRESSING 4"" X 4""")</f>
        <v>BORDERED SILICONE FOAM DRESSING 4" X 4"</v>
      </c>
      <c r="C17" s="9" t="str">
        <f>T("HEALQU LLC")</f>
        <v>HEALQU LLC</v>
      </c>
      <c r="D17" s="1" t="str">
        <f>T("9020501")</f>
        <v>9020501</v>
      </c>
      <c r="E17" s="1" t="str">
        <f>T("A4649")</f>
        <v>A4649</v>
      </c>
      <c r="F17" s="1" t="str">
        <f>T("10/23/2017")</f>
        <v>10/23/2017</v>
      </c>
      <c r="G17" s="1" t="str">
        <f t="shared" si="0"/>
        <v/>
      </c>
      <c r="H17" s="9" t="str">
        <f t="shared" si="0"/>
        <v/>
      </c>
    </row>
    <row r="18" spans="1:8" ht="15.75" customHeight="1" x14ac:dyDescent="0.2">
      <c r="A18" s="3" t="s">
        <v>10</v>
      </c>
      <c r="B18" s="9" t="str">
        <f>T("BORDERED SILICONE FOAM DRESSING 6"" X 6""")</f>
        <v>BORDERED SILICONE FOAM DRESSING 6" X 6"</v>
      </c>
      <c r="C18" s="9" t="str">
        <f>T("HEALQU LLC")</f>
        <v>HEALQU LLC</v>
      </c>
      <c r="D18" s="1" t="str">
        <f>T("9020502")</f>
        <v>9020502</v>
      </c>
      <c r="E18" s="1" t="str">
        <f>T("A4649")</f>
        <v>A4649</v>
      </c>
      <c r="F18" s="1" t="str">
        <f>T("10/23/2017")</f>
        <v>10/23/2017</v>
      </c>
      <c r="G18" s="1" t="str">
        <f t="shared" si="0"/>
        <v/>
      </c>
      <c r="H18" s="9" t="str">
        <f t="shared" si="0"/>
        <v/>
      </c>
    </row>
    <row r="19" spans="1:8" ht="15.75" customHeight="1" x14ac:dyDescent="0.2">
      <c r="A19" s="3" t="s">
        <v>10</v>
      </c>
      <c r="B19" s="9" t="str">
        <f>T("BORDERED SILICONE FOAM DRESSING 7"" X 7""")</f>
        <v>BORDERED SILICONE FOAM DRESSING 7" X 7"</v>
      </c>
      <c r="C19" s="9" t="str">
        <f>T("HEALQU LLC")</f>
        <v>HEALQU LLC</v>
      </c>
      <c r="D19" s="1" t="str">
        <f>T("9020503")</f>
        <v>9020503</v>
      </c>
      <c r="E19" s="1" t="str">
        <f>T("A4649")</f>
        <v>A4649</v>
      </c>
      <c r="F19" s="1" t="str">
        <f>T("10/23/2017")</f>
        <v>10/23/2017</v>
      </c>
      <c r="G19" s="1" t="str">
        <f t="shared" si="0"/>
        <v/>
      </c>
      <c r="H19" s="9" t="str">
        <f t="shared" si="0"/>
        <v/>
      </c>
    </row>
    <row r="20" spans="1:8" ht="15.75" customHeight="1" x14ac:dyDescent="0.2">
      <c r="A20" s="3" t="s">
        <v>11</v>
      </c>
      <c r="B20" s="10" t="s">
        <v>82</v>
      </c>
      <c r="C20" s="10" t="s">
        <v>97</v>
      </c>
      <c r="D20" s="2" t="s">
        <v>159</v>
      </c>
      <c r="E20" s="3" t="s">
        <v>187</v>
      </c>
      <c r="F20" s="4">
        <v>42956</v>
      </c>
      <c r="G20" s="4">
        <v>43032</v>
      </c>
      <c r="H20" s="10"/>
    </row>
    <row r="21" spans="1:8" x14ac:dyDescent="0.2">
      <c r="A21" s="3" t="s">
        <v>11</v>
      </c>
      <c r="B21" s="10" t="s">
        <v>82</v>
      </c>
      <c r="C21" s="10" t="s">
        <v>97</v>
      </c>
      <c r="D21" s="2" t="s">
        <v>160</v>
      </c>
      <c r="E21" s="3" t="s">
        <v>187</v>
      </c>
      <c r="F21" s="4">
        <v>42956</v>
      </c>
      <c r="G21" s="4">
        <v>43032</v>
      </c>
      <c r="H21" s="10"/>
    </row>
    <row r="22" spans="1:8" x14ac:dyDescent="0.2">
      <c r="A22" s="3" t="s">
        <v>11</v>
      </c>
      <c r="B22" s="10" t="s">
        <v>82</v>
      </c>
      <c r="C22" s="10" t="s">
        <v>97</v>
      </c>
      <c r="D22" s="2" t="s">
        <v>161</v>
      </c>
      <c r="E22" s="3" t="s">
        <v>187</v>
      </c>
      <c r="F22" s="4">
        <v>42956</v>
      </c>
      <c r="G22" s="4">
        <v>43032</v>
      </c>
      <c r="H22" s="10"/>
    </row>
    <row r="23" spans="1:8" x14ac:dyDescent="0.2">
      <c r="A23" s="3" t="s">
        <v>11</v>
      </c>
      <c r="B23" s="10" t="s">
        <v>15</v>
      </c>
      <c r="C23" s="10" t="s">
        <v>85</v>
      </c>
      <c r="D23" s="2" t="s">
        <v>103</v>
      </c>
      <c r="E23" s="3" t="s">
        <v>167</v>
      </c>
      <c r="F23" s="4">
        <v>40438</v>
      </c>
      <c r="G23" s="4">
        <v>43009</v>
      </c>
      <c r="H23" s="10"/>
    </row>
    <row r="24" spans="1:8" x14ac:dyDescent="0.2">
      <c r="A24" s="3" t="s">
        <v>10</v>
      </c>
      <c r="B24" s="9" t="str">
        <f t="shared" ref="B24:B29" si="1">T("840")</f>
        <v>840</v>
      </c>
      <c r="C24" s="9" t="str">
        <f t="shared" ref="C24:C29" si="2">T("NEW BALANCE ATHLETICS INC")</f>
        <v>NEW BALANCE ATHLETICS INC</v>
      </c>
      <c r="D24" s="1" t="str">
        <f>T("WW840GY2")</f>
        <v>WW840GY2</v>
      </c>
      <c r="E24" s="1" t="str">
        <f t="shared" ref="E24:E29" si="3">T("A5500")</f>
        <v>A5500</v>
      </c>
      <c r="F24" s="1" t="str">
        <f>T("10/11/2017")</f>
        <v>10/11/2017</v>
      </c>
      <c r="G24" s="1" t="str">
        <f t="shared" ref="G24:H29" si="4">T("")</f>
        <v/>
      </c>
      <c r="H24" s="9" t="str">
        <f t="shared" si="4"/>
        <v/>
      </c>
    </row>
    <row r="25" spans="1:8" x14ac:dyDescent="0.2">
      <c r="A25" s="3" t="s">
        <v>10</v>
      </c>
      <c r="B25" s="9" t="str">
        <f t="shared" si="1"/>
        <v>840</v>
      </c>
      <c r="C25" s="9" t="str">
        <f t="shared" si="2"/>
        <v>NEW BALANCE ATHLETICS INC</v>
      </c>
      <c r="D25" s="1" t="str">
        <f>T("MW840BK2")</f>
        <v>MW840BK2</v>
      </c>
      <c r="E25" s="1" t="str">
        <f t="shared" si="3"/>
        <v>A5500</v>
      </c>
      <c r="F25" s="1" t="str">
        <f>T("10/19/2017")</f>
        <v>10/19/2017</v>
      </c>
      <c r="G25" s="1" t="str">
        <f t="shared" si="4"/>
        <v/>
      </c>
      <c r="H25" s="9" t="str">
        <f t="shared" si="4"/>
        <v/>
      </c>
    </row>
    <row r="26" spans="1:8" x14ac:dyDescent="0.2">
      <c r="A26" s="3" t="s">
        <v>10</v>
      </c>
      <c r="B26" s="9" t="str">
        <f t="shared" si="1"/>
        <v>840</v>
      </c>
      <c r="C26" s="9" t="str">
        <f t="shared" si="2"/>
        <v>NEW BALANCE ATHLETICS INC</v>
      </c>
      <c r="D26" s="1" t="str">
        <f>T("MW840WT2")</f>
        <v>MW840WT2</v>
      </c>
      <c r="E26" s="1" t="str">
        <f t="shared" si="3"/>
        <v>A5500</v>
      </c>
      <c r="F26" s="1" t="str">
        <f>T("10/19/2017")</f>
        <v>10/19/2017</v>
      </c>
      <c r="G26" s="1" t="str">
        <f t="shared" si="4"/>
        <v/>
      </c>
      <c r="H26" s="9" t="str">
        <f t="shared" si="4"/>
        <v/>
      </c>
    </row>
    <row r="27" spans="1:8" x14ac:dyDescent="0.2">
      <c r="A27" s="3" t="s">
        <v>10</v>
      </c>
      <c r="B27" s="9" t="str">
        <f t="shared" si="1"/>
        <v>840</v>
      </c>
      <c r="C27" s="9" t="str">
        <f t="shared" si="2"/>
        <v>NEW BALANCE ATHLETICS INC</v>
      </c>
      <c r="D27" s="1" t="str">
        <f>T("MW840BR2")</f>
        <v>MW840BR2</v>
      </c>
      <c r="E27" s="1" t="str">
        <f t="shared" si="3"/>
        <v>A5500</v>
      </c>
      <c r="F27" s="1" t="str">
        <f>T("10/19/2017")</f>
        <v>10/19/2017</v>
      </c>
      <c r="G27" s="1" t="str">
        <f t="shared" si="4"/>
        <v/>
      </c>
      <c r="H27" s="9" t="str">
        <f t="shared" si="4"/>
        <v/>
      </c>
    </row>
    <row r="28" spans="1:8" x14ac:dyDescent="0.2">
      <c r="A28" s="3" t="s">
        <v>10</v>
      </c>
      <c r="B28" s="9" t="str">
        <f t="shared" si="1"/>
        <v>840</v>
      </c>
      <c r="C28" s="9" t="str">
        <f t="shared" si="2"/>
        <v>NEW BALANCE ATHLETICS INC</v>
      </c>
      <c r="D28" s="1" t="str">
        <f>T("WW840BK2")</f>
        <v>WW840BK2</v>
      </c>
      <c r="E28" s="1" t="str">
        <f t="shared" si="3"/>
        <v>A5500</v>
      </c>
      <c r="F28" s="1" t="str">
        <f>T("10/19/2017")</f>
        <v>10/19/2017</v>
      </c>
      <c r="G28" s="1" t="str">
        <f t="shared" si="4"/>
        <v/>
      </c>
      <c r="H28" s="9" t="str">
        <f t="shared" si="4"/>
        <v/>
      </c>
    </row>
    <row r="29" spans="1:8" x14ac:dyDescent="0.2">
      <c r="A29" s="3" t="s">
        <v>10</v>
      </c>
      <c r="B29" s="9" t="str">
        <f t="shared" si="1"/>
        <v>840</v>
      </c>
      <c r="C29" s="9" t="str">
        <f t="shared" si="2"/>
        <v>NEW BALANCE ATHLETICS INC</v>
      </c>
      <c r="D29" s="1" t="str">
        <f>T("WW840GG2")</f>
        <v>WW840GG2</v>
      </c>
      <c r="E29" s="1" t="str">
        <f t="shared" si="3"/>
        <v>A5500</v>
      </c>
      <c r="F29" s="1" t="str">
        <f>T("10/19/2017")</f>
        <v>10/19/2017</v>
      </c>
      <c r="G29" s="1" t="str">
        <f t="shared" si="4"/>
        <v/>
      </c>
      <c r="H29" s="9" t="str">
        <f t="shared" si="4"/>
        <v/>
      </c>
    </row>
    <row r="30" spans="1:8" x14ac:dyDescent="0.2">
      <c r="A30" s="3" t="s">
        <v>10</v>
      </c>
      <c r="B30" s="9" t="str">
        <f>T("WOMEN'S MABEL")</f>
        <v>WOMEN'S MABEL</v>
      </c>
      <c r="C30" s="9" t="str">
        <f>T("PROPET USA INC")</f>
        <v>PROPET USA INC</v>
      </c>
      <c r="D30" s="1" t="str">
        <f>T("WCA003L-BLK")</f>
        <v>WCA003L-BLK</v>
      </c>
      <c r="E30" s="1" t="str">
        <f>T("A5500 OR L3216")</f>
        <v>A5500 OR L3216</v>
      </c>
      <c r="F30" s="1" t="str">
        <f>T("10/11/2017")</f>
        <v>10/11/2017</v>
      </c>
      <c r="G30" s="1" t="str">
        <f>T("")</f>
        <v/>
      </c>
      <c r="H30" s="9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31" spans="1:8" x14ac:dyDescent="0.2">
      <c r="A31" s="3" t="s">
        <v>10</v>
      </c>
      <c r="B31" s="9" t="str">
        <f>T("WOMEN'S MABEL")</f>
        <v>WOMEN'S MABEL</v>
      </c>
      <c r="C31" s="9" t="str">
        <f>T("PROPET USA INC")</f>
        <v>PROPET USA INC</v>
      </c>
      <c r="D31" s="1" t="str">
        <f>T("WCA003L-WIN")</f>
        <v>WCA003L-WIN</v>
      </c>
      <c r="E31" s="1" t="str">
        <f>T("A5500 OR L3216")</f>
        <v>A5500 OR L3216</v>
      </c>
      <c r="F31" s="1" t="str">
        <f>T("10/11/2017")</f>
        <v>10/11/2017</v>
      </c>
      <c r="G31" s="1" t="str">
        <f>T("")</f>
        <v/>
      </c>
      <c r="H31" s="9" t="str">
        <f>T("USE A5500 WHEN USED FOR THERAPEUTIC SHOES FOR DIABETES. USE L3216 WHEN USED FOR ORTHOPEDIC FOOTWEAR")</f>
        <v>USE A5500 WHEN USED FOR THERAPEUTIC SHOES FOR DIABETES. USE L3216 WHEN USED FOR ORTHOPEDIC FOOTWEAR</v>
      </c>
    </row>
    <row r="32" spans="1:8" x14ac:dyDescent="0.2">
      <c r="A32" s="3" t="s">
        <v>10</v>
      </c>
      <c r="B32" s="9" t="s">
        <v>15</v>
      </c>
      <c r="C32" s="9" t="s">
        <v>85</v>
      </c>
      <c r="D32" s="1" t="s">
        <v>103</v>
      </c>
      <c r="E32" s="1" t="s">
        <v>163</v>
      </c>
      <c r="F32" s="1" t="s">
        <v>189</v>
      </c>
      <c r="G32" s="1" t="s">
        <v>7</v>
      </c>
      <c r="H32" s="9" t="s">
        <v>7</v>
      </c>
    </row>
    <row r="33" spans="1:8" x14ac:dyDescent="0.2">
      <c r="A33" s="3" t="s">
        <v>10</v>
      </c>
      <c r="B33" s="9" t="s">
        <v>16</v>
      </c>
      <c r="C33" s="9" t="s">
        <v>85</v>
      </c>
      <c r="D33" s="1" t="s">
        <v>104</v>
      </c>
      <c r="E33" s="1" t="s">
        <v>163</v>
      </c>
      <c r="F33" s="1" t="s">
        <v>189</v>
      </c>
      <c r="G33" s="1" t="s">
        <v>7</v>
      </c>
      <c r="H33" s="9" t="s">
        <v>7</v>
      </c>
    </row>
    <row r="34" spans="1:8" x14ac:dyDescent="0.2">
      <c r="A34" s="3" t="s">
        <v>10</v>
      </c>
      <c r="B34" s="9" t="s">
        <v>17</v>
      </c>
      <c r="C34" s="9" t="s">
        <v>85</v>
      </c>
      <c r="D34" s="1" t="s">
        <v>105</v>
      </c>
      <c r="E34" s="1" t="s">
        <v>163</v>
      </c>
      <c r="F34" s="1" t="s">
        <v>189</v>
      </c>
      <c r="G34" s="1" t="s">
        <v>7</v>
      </c>
      <c r="H34" s="9" t="s">
        <v>7</v>
      </c>
    </row>
    <row r="35" spans="1:8" x14ac:dyDescent="0.2">
      <c r="A35" s="3" t="s">
        <v>10</v>
      </c>
      <c r="B35" s="9" t="s">
        <v>18</v>
      </c>
      <c r="C35" s="9" t="s">
        <v>85</v>
      </c>
      <c r="D35" s="1" t="s">
        <v>106</v>
      </c>
      <c r="E35" s="1" t="s">
        <v>163</v>
      </c>
      <c r="F35" s="1" t="s">
        <v>189</v>
      </c>
      <c r="G35" s="1" t="s">
        <v>7</v>
      </c>
      <c r="H35" s="9" t="s">
        <v>7</v>
      </c>
    </row>
    <row r="36" spans="1:8" x14ac:dyDescent="0.2">
      <c r="A36" s="3" t="s">
        <v>10</v>
      </c>
      <c r="B36" s="9" t="str">
        <f>T("GLOBETROTTER")</f>
        <v>GLOBETROTTER</v>
      </c>
      <c r="C36" s="9" t="str">
        <f>T("B &amp; S PARTNERS INC (DBA PILGRIM SHOES)")</f>
        <v>B &amp; S PARTNERS INC (DBA PILGRIM SHOES)</v>
      </c>
      <c r="D36" s="1" t="str">
        <f>T("D2018")</f>
        <v>D2018</v>
      </c>
      <c r="E36" s="1" t="str">
        <f>T("A5500 OR L3221")</f>
        <v>A5500 OR L3221</v>
      </c>
      <c r="F36" s="1" t="str">
        <f>T("10/03/2017")</f>
        <v>10/03/2017</v>
      </c>
      <c r="G36" s="1" t="str">
        <f t="shared" ref="G36:H55" si="5">T("")</f>
        <v/>
      </c>
      <c r="H36" s="9" t="str">
        <f t="shared" si="5"/>
        <v/>
      </c>
    </row>
    <row r="37" spans="1:8" x14ac:dyDescent="0.2">
      <c r="A37" s="3" t="s">
        <v>11</v>
      </c>
      <c r="B37" s="9" t="str">
        <f>T("APEX CUSTOM THERMOTHOTICS - 40/45 DUROMETER EXTRA FIRM PLASTAZOTE BASE")</f>
        <v>APEX CUSTOM THERMOTHOTICS - 40/45 DUROMETER EXTRA FIRM PLASTAZOTE BASE</v>
      </c>
      <c r="C37" s="9" t="str">
        <f>T("APEX FOOT HEALTH INDUSTRIES INC")</f>
        <v>APEX FOOT HEALTH INDUSTRIES INC</v>
      </c>
      <c r="D37" s="1" t="str">
        <f>T("CU40681")</f>
        <v>CU40681</v>
      </c>
      <c r="E37" s="1" t="str">
        <f>T("A5513")</f>
        <v>A5513</v>
      </c>
      <c r="F37" s="1" t="str">
        <f>T("10/12/2017")</f>
        <v>10/12/2017</v>
      </c>
      <c r="G37" s="1" t="str">
        <f t="shared" si="5"/>
        <v/>
      </c>
      <c r="H37" s="9" t="str">
        <f t="shared" si="5"/>
        <v/>
      </c>
    </row>
    <row r="38" spans="1:8" x14ac:dyDescent="0.2">
      <c r="A38" s="3" t="s">
        <v>11</v>
      </c>
      <c r="B38" s="9" t="str">
        <f>T("APEX CUSTOM THERMOTHOTICS - 40/45 DUROMETER EVA BASE")</f>
        <v>APEX CUSTOM THERMOTHOTICS - 40/45 DUROMETER EVA BASE</v>
      </c>
      <c r="C38" s="9" t="str">
        <f>T("APEX FOOT HEALTH INDUSTRIES INC")</f>
        <v>APEX FOOT HEALTH INDUSTRIES INC</v>
      </c>
      <c r="D38" s="1" t="str">
        <f>T("CU40668")</f>
        <v>CU40668</v>
      </c>
      <c r="E38" s="1" t="str">
        <f>T("A5513")</f>
        <v>A5513</v>
      </c>
      <c r="F38" s="1" t="str">
        <f>T("10/12/2017")</f>
        <v>10/12/2017</v>
      </c>
      <c r="G38" s="1" t="str">
        <f t="shared" si="5"/>
        <v/>
      </c>
      <c r="H38" s="9" t="str">
        <f t="shared" si="5"/>
        <v/>
      </c>
    </row>
    <row r="39" spans="1:8" x14ac:dyDescent="0.2">
      <c r="A39" s="3" t="s">
        <v>11</v>
      </c>
      <c r="B39" s="9" t="str">
        <f>T("APEX CUSTOM THERMOTHOTICS - 60 DUROMETER EVA BASE")</f>
        <v>APEX CUSTOM THERMOTHOTICS - 60 DUROMETER EVA BASE</v>
      </c>
      <c r="C39" s="9" t="str">
        <f>T("APEX FOOT HEALTH INDUSTRIES INC")</f>
        <v>APEX FOOT HEALTH INDUSTRIES INC</v>
      </c>
      <c r="D39" s="1" t="str">
        <f>T("CU40694")</f>
        <v>CU40694</v>
      </c>
      <c r="E39" s="1" t="str">
        <f>T("A5513")</f>
        <v>A5513</v>
      </c>
      <c r="F39" s="1" t="str">
        <f>T("10/12/2017")</f>
        <v>10/12/2017</v>
      </c>
      <c r="G39" s="1" t="str">
        <f t="shared" si="5"/>
        <v/>
      </c>
      <c r="H39" s="9" t="str">
        <f t="shared" si="5"/>
        <v/>
      </c>
    </row>
    <row r="40" spans="1:8" x14ac:dyDescent="0.2">
      <c r="A40" s="3" t="s">
        <v>10</v>
      </c>
      <c r="B40" s="9" t="str">
        <f>T("DIABETIC INSERT")</f>
        <v>DIABETIC INSERT</v>
      </c>
      <c r="C40" s="9" t="str">
        <f>T("BIOSTEP INC")</f>
        <v>BIOSTEP INC</v>
      </c>
      <c r="D40" s="1" t="str">
        <f>T("VFDINSERT")</f>
        <v>VFDINSERT</v>
      </c>
      <c r="E40" s="1" t="str">
        <f>T("A5513")</f>
        <v>A5513</v>
      </c>
      <c r="F40" s="1" t="str">
        <f>T("10/13/2017")</f>
        <v>10/13/2017</v>
      </c>
      <c r="G40" s="1" t="str">
        <f t="shared" si="5"/>
        <v/>
      </c>
      <c r="H40" s="9" t="str">
        <f t="shared" si="5"/>
        <v/>
      </c>
    </row>
    <row r="41" spans="1:8" x14ac:dyDescent="0.2">
      <c r="A41" s="3" t="s">
        <v>10</v>
      </c>
      <c r="B41" s="9" t="str">
        <f>T("THIN BI-LAMINATE CUSTOM DIABETIC INSERTS")</f>
        <v>THIN BI-LAMINATE CUSTOM DIABETIC INSERTS</v>
      </c>
      <c r="C41" s="9" t="str">
        <f>T("FOOTCARE STORE INC (DBA DIA-FOOT)")</f>
        <v>FOOTCARE STORE INC (DBA DIA-FOOT)</v>
      </c>
      <c r="D41" s="1" t="str">
        <f>T("")</f>
        <v/>
      </c>
      <c r="E41" s="1" t="str">
        <f>T("A5513")</f>
        <v>A5513</v>
      </c>
      <c r="F41" s="1" t="str">
        <f>T("10/23/2017")</f>
        <v>10/23/2017</v>
      </c>
      <c r="G41" s="1" t="str">
        <f t="shared" si="5"/>
        <v/>
      </c>
      <c r="H41" s="9" t="str">
        <f t="shared" si="5"/>
        <v/>
      </c>
    </row>
    <row r="42" spans="1:8" x14ac:dyDescent="0.2">
      <c r="A42" s="3" t="s">
        <v>10</v>
      </c>
      <c r="B42" s="9" t="str">
        <f>T("SORBACT SUPERABSORBENT")</f>
        <v>SORBACT SUPERABSORBENT</v>
      </c>
      <c r="C42" s="9" t="str">
        <f>T("INTEGRATED HEALING TECHNOLOGIES LLC")</f>
        <v>INTEGRATED HEALING TECHNOLOGIES LLC</v>
      </c>
      <c r="D42" s="1" t="str">
        <f>T("98501")</f>
        <v>98501</v>
      </c>
      <c r="E42" s="1" t="str">
        <f t="shared" ref="E42:E54" si="6">T("A6196")</f>
        <v>A6196</v>
      </c>
      <c r="F42" s="1" t="str">
        <f>T("10/19/2017")</f>
        <v>10/19/2017</v>
      </c>
      <c r="G42" s="1" t="str">
        <f t="shared" si="5"/>
        <v/>
      </c>
      <c r="H42" s="9" t="str">
        <f t="shared" si="5"/>
        <v/>
      </c>
    </row>
    <row r="43" spans="1:8" x14ac:dyDescent="0.2">
      <c r="A43" s="3" t="s">
        <v>10</v>
      </c>
      <c r="B43" s="9" t="str">
        <f>T("KERRAMAX CARE GENTLE BORDER 4"" X 4""")</f>
        <v>KERRAMAX CARE GENTLE BORDER 4" X 4"</v>
      </c>
      <c r="C43" s="9" t="str">
        <f>T("CRAWFORD HEALTHCARE")</f>
        <v>CRAWFORD HEALTHCARE</v>
      </c>
      <c r="D43" s="1" t="str">
        <f>T("PRD500-1174")</f>
        <v>PRD500-1174</v>
      </c>
      <c r="E43" s="1" t="str">
        <f t="shared" si="6"/>
        <v>A6196</v>
      </c>
      <c r="F43" s="1" t="str">
        <f>T("10/19/2017")</f>
        <v>10/19/2017</v>
      </c>
      <c r="G43" s="1" t="str">
        <f t="shared" si="5"/>
        <v/>
      </c>
      <c r="H43" s="9" t="str">
        <f t="shared" si="5"/>
        <v/>
      </c>
    </row>
    <row r="44" spans="1:8" x14ac:dyDescent="0.2">
      <c r="A44" s="3" t="s">
        <v>10</v>
      </c>
      <c r="B44" s="9" t="str">
        <f>T("KERRAMAX CARE BORDER 6"" X 6""")</f>
        <v>KERRAMAX CARE BORDER 6" X 6"</v>
      </c>
      <c r="C44" s="9" t="str">
        <f>T("CRAWFORD HEALTHCARE")</f>
        <v>CRAWFORD HEALTHCARE</v>
      </c>
      <c r="D44" s="1" t="str">
        <f>T("PRD500-1175")</f>
        <v>PRD500-1175</v>
      </c>
      <c r="E44" s="1" t="str">
        <f t="shared" si="6"/>
        <v>A6196</v>
      </c>
      <c r="F44" s="1" t="str">
        <f>T("10/19/2017")</f>
        <v>10/19/2017</v>
      </c>
      <c r="G44" s="1" t="str">
        <f t="shared" si="5"/>
        <v/>
      </c>
      <c r="H44" s="9" t="str">
        <f t="shared" si="5"/>
        <v/>
      </c>
    </row>
    <row r="45" spans="1:8" x14ac:dyDescent="0.2">
      <c r="A45" s="3" t="s">
        <v>10</v>
      </c>
      <c r="B45" s="9" t="str">
        <f>T("SILVER ALGINATE WOUND DRESSING 5 X 5 CM")</f>
        <v>SILVER ALGINATE WOUND DRESSING 5 X 5 CM</v>
      </c>
      <c r="C45" s="9" t="str">
        <f>T("HEALQU LLC")</f>
        <v>HEALQU LLC</v>
      </c>
      <c r="D45" s="1" t="str">
        <f>T("9020104")</f>
        <v>9020104</v>
      </c>
      <c r="E45" s="1" t="str">
        <f t="shared" si="6"/>
        <v>A6196</v>
      </c>
      <c r="F45" s="1" t="str">
        <f>T("10/23/2017")</f>
        <v>10/23/2017</v>
      </c>
      <c r="G45" s="1" t="str">
        <f t="shared" si="5"/>
        <v/>
      </c>
      <c r="H45" s="9" t="str">
        <f t="shared" si="5"/>
        <v/>
      </c>
    </row>
    <row r="46" spans="1:8" x14ac:dyDescent="0.2">
      <c r="A46" s="3" t="s">
        <v>10</v>
      </c>
      <c r="B46" s="9" t="str">
        <f>T("CALCIUM ALGINATE WOUND DRESSING 5 X 5 CM")</f>
        <v>CALCIUM ALGINATE WOUND DRESSING 5 X 5 CM</v>
      </c>
      <c r="C46" s="9" t="str">
        <f>T("HEALQU LLC")</f>
        <v>HEALQU LLC</v>
      </c>
      <c r="D46" s="1" t="str">
        <f>T("9020201")</f>
        <v>9020201</v>
      </c>
      <c r="E46" s="1" t="str">
        <f t="shared" si="6"/>
        <v>A6196</v>
      </c>
      <c r="F46" s="1" t="str">
        <f>T("10/23/2017")</f>
        <v>10/23/2017</v>
      </c>
      <c r="G46" s="1" t="str">
        <f t="shared" si="5"/>
        <v/>
      </c>
      <c r="H46" s="9" t="str">
        <f t="shared" si="5"/>
        <v/>
      </c>
    </row>
    <row r="47" spans="1:8" x14ac:dyDescent="0.2">
      <c r="A47" s="3" t="s">
        <v>10</v>
      </c>
      <c r="B47" s="9" t="str">
        <f>T("CUTIMED SORBION SACHET BORDER 4 X 4 IN")</f>
        <v>CUTIMED SORBION SACHET BORDER 4 X 4 IN</v>
      </c>
      <c r="C47" s="9" t="str">
        <f t="shared" ref="C47:C54" si="7">T("BSN MEDICAL INC")</f>
        <v>BSN MEDICAL INC</v>
      </c>
      <c r="D47" s="1" t="str">
        <f>T("73236-00")</f>
        <v>73236-00</v>
      </c>
      <c r="E47" s="1" t="str">
        <f t="shared" si="6"/>
        <v>A6196</v>
      </c>
      <c r="F47" s="1" t="str">
        <f t="shared" ref="F47:F54" si="8">T("10/25/2017")</f>
        <v>10/25/2017</v>
      </c>
      <c r="G47" s="1" t="str">
        <f t="shared" si="5"/>
        <v/>
      </c>
      <c r="H47" s="9" t="str">
        <f t="shared" si="5"/>
        <v/>
      </c>
    </row>
    <row r="48" spans="1:8" x14ac:dyDescent="0.2">
      <c r="A48" s="3" t="s">
        <v>10</v>
      </c>
      <c r="B48" s="9" t="str">
        <f>T("CUTIMED SORBION SACHET BORDER 6 X 6 IN")</f>
        <v>CUTIMED SORBION SACHET BORDER 6 X 6 IN</v>
      </c>
      <c r="C48" s="9" t="str">
        <f t="shared" si="7"/>
        <v>BSN MEDICAL INC</v>
      </c>
      <c r="D48" s="1" t="str">
        <f>T("73236-02")</f>
        <v>73236-02</v>
      </c>
      <c r="E48" s="1" t="str">
        <f t="shared" si="6"/>
        <v>A6196</v>
      </c>
      <c r="F48" s="1" t="str">
        <f t="shared" si="8"/>
        <v>10/25/2017</v>
      </c>
      <c r="G48" s="1" t="str">
        <f t="shared" si="5"/>
        <v/>
      </c>
      <c r="H48" s="9" t="str">
        <f t="shared" si="5"/>
        <v/>
      </c>
    </row>
    <row r="49" spans="1:8" x14ac:dyDescent="0.2">
      <c r="A49" s="3" t="s">
        <v>10</v>
      </c>
      <c r="B49" s="9" t="str">
        <f>T("CUTIMED SORBION SANA GENTLE 3.5 X 3.5 IN")</f>
        <v>CUTIMED SORBION SANA GENTLE 3.5 X 3.5 IN</v>
      </c>
      <c r="C49" s="9" t="str">
        <f t="shared" si="7"/>
        <v>BSN MEDICAL INC</v>
      </c>
      <c r="D49" s="1" t="str">
        <f>T("73233-19")</f>
        <v>73233-19</v>
      </c>
      <c r="E49" s="1" t="str">
        <f t="shared" si="6"/>
        <v>A6196</v>
      </c>
      <c r="F49" s="1" t="str">
        <f t="shared" si="8"/>
        <v>10/25/2017</v>
      </c>
      <c r="G49" s="1" t="str">
        <f t="shared" si="5"/>
        <v/>
      </c>
      <c r="H49" s="9" t="str">
        <f t="shared" si="5"/>
        <v/>
      </c>
    </row>
    <row r="50" spans="1:8" x14ac:dyDescent="0.2">
      <c r="A50" s="3" t="s">
        <v>10</v>
      </c>
      <c r="B50" s="9" t="str">
        <f>T("CUTIMED SORBION SANA GENTLE 5 X 5 IN")</f>
        <v>CUTIMED SORBION SANA GENTLE 5 X 5 IN</v>
      </c>
      <c r="C50" s="9" t="str">
        <f t="shared" si="7"/>
        <v>BSN MEDICAL INC</v>
      </c>
      <c r="D50" s="1" t="str">
        <f>T("73233-22")</f>
        <v>73233-22</v>
      </c>
      <c r="E50" s="1" t="str">
        <f t="shared" si="6"/>
        <v>A6196</v>
      </c>
      <c r="F50" s="1" t="str">
        <f t="shared" si="8"/>
        <v>10/25/2017</v>
      </c>
      <c r="G50" s="1" t="str">
        <f t="shared" si="5"/>
        <v/>
      </c>
      <c r="H50" s="9" t="str">
        <f t="shared" si="5"/>
        <v/>
      </c>
    </row>
    <row r="51" spans="1:8" x14ac:dyDescent="0.2">
      <c r="A51" s="3" t="s">
        <v>10</v>
      </c>
      <c r="B51" s="9" t="str">
        <f>T("CUTIMED SORBION SACHET S 3 X 3 IN")</f>
        <v>CUTIMED SORBION SACHET S 3 X 3 IN</v>
      </c>
      <c r="C51" s="9" t="str">
        <f t="shared" si="7"/>
        <v>BSN MEDICAL INC</v>
      </c>
      <c r="D51" s="1" t="str">
        <f>T("73232-00")</f>
        <v>73232-00</v>
      </c>
      <c r="E51" s="1" t="str">
        <f t="shared" si="6"/>
        <v>A6196</v>
      </c>
      <c r="F51" s="1" t="str">
        <f t="shared" si="8"/>
        <v>10/25/2017</v>
      </c>
      <c r="G51" s="1" t="str">
        <f t="shared" si="5"/>
        <v/>
      </c>
      <c r="H51" s="9" t="str">
        <f t="shared" si="5"/>
        <v/>
      </c>
    </row>
    <row r="52" spans="1:8" x14ac:dyDescent="0.2">
      <c r="A52" s="3" t="s">
        <v>10</v>
      </c>
      <c r="B52" s="9" t="str">
        <f>T("CUTIMED SORBION SACHET S 4 X 4 IN")</f>
        <v>CUTIMED SORBION SACHET S 4 X 4 IN</v>
      </c>
      <c r="C52" s="9" t="str">
        <f t="shared" si="7"/>
        <v>BSN MEDICAL INC</v>
      </c>
      <c r="D52" s="1" t="str">
        <f>T("73232-06")</f>
        <v>73232-06</v>
      </c>
      <c r="E52" s="1" t="str">
        <f t="shared" si="6"/>
        <v>A6196</v>
      </c>
      <c r="F52" s="1" t="str">
        <f t="shared" si="8"/>
        <v>10/25/2017</v>
      </c>
      <c r="G52" s="1" t="str">
        <f t="shared" si="5"/>
        <v/>
      </c>
      <c r="H52" s="9" t="str">
        <f t="shared" si="5"/>
        <v/>
      </c>
    </row>
    <row r="53" spans="1:8" x14ac:dyDescent="0.2">
      <c r="A53" s="3" t="s">
        <v>10</v>
      </c>
      <c r="B53" s="9" t="str">
        <f>T("CUTIMED SORBION SACHET S 4 X 5 IN")</f>
        <v>CUTIMED SORBION SACHET S 4 X 5 IN</v>
      </c>
      <c r="C53" s="9" t="str">
        <f t="shared" si="7"/>
        <v>BSN MEDICAL INC</v>
      </c>
      <c r="D53" s="1" t="str">
        <f>T("73232-38")</f>
        <v>73232-38</v>
      </c>
      <c r="E53" s="1" t="str">
        <f t="shared" si="6"/>
        <v>A6196</v>
      </c>
      <c r="F53" s="1" t="str">
        <f t="shared" si="8"/>
        <v>10/25/2017</v>
      </c>
      <c r="G53" s="1" t="str">
        <f t="shared" si="5"/>
        <v/>
      </c>
      <c r="H53" s="9" t="str">
        <f t="shared" si="5"/>
        <v/>
      </c>
    </row>
    <row r="54" spans="1:8" x14ac:dyDescent="0.2">
      <c r="A54" s="3" t="s">
        <v>10</v>
      </c>
      <c r="B54" s="9" t="str">
        <f>T("CUTIMED SORBION SACHET S DRAINAGE 4 X 4 IN")</f>
        <v>CUTIMED SORBION SACHET S DRAINAGE 4 X 4 IN</v>
      </c>
      <c r="C54" s="9" t="str">
        <f t="shared" si="7"/>
        <v>BSN MEDICAL INC</v>
      </c>
      <c r="D54" s="1" t="str">
        <f>T("73241-00")</f>
        <v>73241-00</v>
      </c>
      <c r="E54" s="1" t="str">
        <f t="shared" si="6"/>
        <v>A6196</v>
      </c>
      <c r="F54" s="1" t="str">
        <f t="shared" si="8"/>
        <v>10/25/2017</v>
      </c>
      <c r="G54" s="1" t="str">
        <f t="shared" si="5"/>
        <v/>
      </c>
      <c r="H54" s="9" t="str">
        <f t="shared" si="5"/>
        <v/>
      </c>
    </row>
    <row r="55" spans="1:8" x14ac:dyDescent="0.2">
      <c r="A55" s="3" t="s">
        <v>10</v>
      </c>
      <c r="B55" s="9" t="str">
        <f>T("KERRAMAX CARE GENTLE BORDER 8"" X 8""")</f>
        <v>KERRAMAX CARE GENTLE BORDER 8" X 8"</v>
      </c>
      <c r="C55" s="9" t="str">
        <f>T("CRAWFORD HEALTHCARE")</f>
        <v>CRAWFORD HEALTHCARE</v>
      </c>
      <c r="D55" s="1" t="str">
        <f>T("PRD500-1176")</f>
        <v>PRD500-1176</v>
      </c>
      <c r="E55" s="1" t="str">
        <f t="shared" ref="E55:E64" si="9">T("A6197")</f>
        <v>A6197</v>
      </c>
      <c r="F55" s="1" t="str">
        <f>T("10/19/2017")</f>
        <v>10/19/2017</v>
      </c>
      <c r="G55" s="1" t="str">
        <f t="shared" si="5"/>
        <v/>
      </c>
      <c r="H55" s="9" t="str">
        <f t="shared" si="5"/>
        <v/>
      </c>
    </row>
    <row r="56" spans="1:8" x14ac:dyDescent="0.2">
      <c r="A56" s="3" t="s">
        <v>10</v>
      </c>
      <c r="B56" s="9" t="str">
        <f>T("KERRAMAX CARE GENTLE BORDER 6"" X 10""")</f>
        <v>KERRAMAX CARE GENTLE BORDER 6" X 10"</v>
      </c>
      <c r="C56" s="9" t="str">
        <f>T("CRAWFORD HEALTHCARE")</f>
        <v>CRAWFORD HEALTHCARE</v>
      </c>
      <c r="D56" s="1" t="str">
        <f>T("PRD500-1177")</f>
        <v>PRD500-1177</v>
      </c>
      <c r="E56" s="1" t="str">
        <f t="shared" si="9"/>
        <v>A6197</v>
      </c>
      <c r="F56" s="1" t="str">
        <f>T("10/19/2017")</f>
        <v>10/19/2017</v>
      </c>
      <c r="G56" s="1" t="str">
        <f t="shared" ref="G56:H78" si="10">T("")</f>
        <v/>
      </c>
      <c r="H56" s="9" t="str">
        <f t="shared" si="10"/>
        <v/>
      </c>
    </row>
    <row r="57" spans="1:8" x14ac:dyDescent="0.2">
      <c r="A57" s="3" t="s">
        <v>10</v>
      </c>
      <c r="B57" s="9" t="str">
        <f>T("SORBACT SUPERABSORBENT")</f>
        <v>SORBACT SUPERABSORBENT</v>
      </c>
      <c r="C57" s="9" t="str">
        <f>T("INTEGRATED HEALING TECHNOLOGIES LLC")</f>
        <v>INTEGRATED HEALING TECHNOLOGIES LLC</v>
      </c>
      <c r="D57" s="1" t="str">
        <f>T("98502")</f>
        <v>98502</v>
      </c>
      <c r="E57" s="1" t="str">
        <f t="shared" si="9"/>
        <v>A6197</v>
      </c>
      <c r="F57" s="1" t="str">
        <f>T("10/19/2017")</f>
        <v>10/19/2017</v>
      </c>
      <c r="G57" s="1" t="str">
        <f t="shared" si="10"/>
        <v/>
      </c>
      <c r="H57" s="9" t="str">
        <f t="shared" si="10"/>
        <v/>
      </c>
    </row>
    <row r="58" spans="1:8" x14ac:dyDescent="0.2">
      <c r="A58" s="3" t="s">
        <v>10</v>
      </c>
      <c r="B58" s="9" t="str">
        <f>T("CALCIUM ALGINATE WOUND DRESSING 10 X 20 CM")</f>
        <v>CALCIUM ALGINATE WOUND DRESSING 10 X 20 CM</v>
      </c>
      <c r="C58" s="9" t="str">
        <f>T("HEALQU LLC")</f>
        <v>HEALQU LLC</v>
      </c>
      <c r="D58" s="1" t="str">
        <f>T("9020204")</f>
        <v>9020204</v>
      </c>
      <c r="E58" s="1" t="str">
        <f t="shared" si="9"/>
        <v>A6197</v>
      </c>
      <c r="F58" s="1" t="str">
        <f>T("10/23/2017")</f>
        <v>10/23/2017</v>
      </c>
      <c r="G58" s="1" t="str">
        <f t="shared" si="10"/>
        <v/>
      </c>
      <c r="H58" s="9" t="str">
        <f t="shared" si="10"/>
        <v/>
      </c>
    </row>
    <row r="59" spans="1:8" x14ac:dyDescent="0.2">
      <c r="A59" s="3" t="s">
        <v>10</v>
      </c>
      <c r="B59" s="9" t="str">
        <f>T("CALCIUM ALGINATE WOUND DRESSING 10 X 12.5 CM")</f>
        <v>CALCIUM ALGINATE WOUND DRESSING 10 X 12.5 CM</v>
      </c>
      <c r="C59" s="9" t="str">
        <f>T("HEALQU LLC")</f>
        <v>HEALQU LLC</v>
      </c>
      <c r="D59" s="1" t="str">
        <f>T("9020203")</f>
        <v>9020203</v>
      </c>
      <c r="E59" s="1" t="str">
        <f t="shared" si="9"/>
        <v>A6197</v>
      </c>
      <c r="F59" s="1" t="str">
        <f>T("10/23/2017")</f>
        <v>10/23/2017</v>
      </c>
      <c r="G59" s="1" t="str">
        <f t="shared" si="10"/>
        <v/>
      </c>
      <c r="H59" s="9" t="str">
        <f t="shared" si="10"/>
        <v/>
      </c>
    </row>
    <row r="60" spans="1:8" x14ac:dyDescent="0.2">
      <c r="A60" s="3" t="s">
        <v>10</v>
      </c>
      <c r="B60" s="9" t="str">
        <f>T("SILVER ALGINATE WOUND DRESSING 12.5 X 10 CM")</f>
        <v>SILVER ALGINATE WOUND DRESSING 12.5 X 10 CM</v>
      </c>
      <c r="C60" s="9" t="str">
        <f>T("HEALQU LLC")</f>
        <v>HEALQU LLC</v>
      </c>
      <c r="D60" s="1" t="str">
        <f>T("9020102")</f>
        <v>9020102</v>
      </c>
      <c r="E60" s="1" t="str">
        <f t="shared" si="9"/>
        <v>A6197</v>
      </c>
      <c r="F60" s="1" t="str">
        <f>T("10/23/2017")</f>
        <v>10/23/2017</v>
      </c>
      <c r="G60" s="1" t="str">
        <f t="shared" si="10"/>
        <v/>
      </c>
      <c r="H60" s="9" t="str">
        <f t="shared" si="10"/>
        <v/>
      </c>
    </row>
    <row r="61" spans="1:8" x14ac:dyDescent="0.2">
      <c r="A61" s="3" t="s">
        <v>10</v>
      </c>
      <c r="B61" s="9" t="str">
        <f>T("SILVER ALGINATE WOUND DRESSING 10 X 20 CM")</f>
        <v>SILVER ALGINATE WOUND DRESSING 10 X 20 CM</v>
      </c>
      <c r="C61" s="9" t="str">
        <f>T("HEALQU LLC")</f>
        <v>HEALQU LLC</v>
      </c>
      <c r="D61" s="1" t="str">
        <f>T("9020103")</f>
        <v>9020103</v>
      </c>
      <c r="E61" s="1" t="str">
        <f t="shared" si="9"/>
        <v>A6197</v>
      </c>
      <c r="F61" s="1" t="str">
        <f>T("10/23/2017")</f>
        <v>10/23/2017</v>
      </c>
      <c r="G61" s="1" t="str">
        <f t="shared" si="10"/>
        <v/>
      </c>
      <c r="H61" s="9" t="str">
        <f t="shared" si="10"/>
        <v/>
      </c>
    </row>
    <row r="62" spans="1:8" x14ac:dyDescent="0.2">
      <c r="A62" s="3" t="s">
        <v>10</v>
      </c>
      <c r="B62" s="9" t="str">
        <f>T("CUTIMED SORBION SACHET S 8 X 4 IN")</f>
        <v>CUTIMED SORBION SACHET S 8 X 4 IN</v>
      </c>
      <c r="C62" s="9" t="str">
        <f>T("BSN MEDICAL INC")</f>
        <v>BSN MEDICAL INC</v>
      </c>
      <c r="D62" s="1" t="str">
        <f>T("73232-09")</f>
        <v>73232-09</v>
      </c>
      <c r="E62" s="1" t="str">
        <f t="shared" si="9"/>
        <v>A6197</v>
      </c>
      <c r="F62" s="1" t="str">
        <f>T("10/25/2017")</f>
        <v>10/25/2017</v>
      </c>
      <c r="G62" s="1" t="str">
        <f t="shared" si="10"/>
        <v/>
      </c>
      <c r="H62" s="9" t="str">
        <f t="shared" si="10"/>
        <v/>
      </c>
    </row>
    <row r="63" spans="1:8" x14ac:dyDescent="0.2">
      <c r="A63" s="3" t="s">
        <v>10</v>
      </c>
      <c r="B63" s="9" t="str">
        <f>T("CUTIMED SORBION SACHET S 6 X 6 IN")</f>
        <v>CUTIMED SORBION SACHET S 6 X 6 IN</v>
      </c>
      <c r="C63" s="9" t="str">
        <f>T("BSN MEDICAL INC")</f>
        <v>BSN MEDICAL INC</v>
      </c>
      <c r="D63" s="1" t="str">
        <f>T("73232-12")</f>
        <v>73232-12</v>
      </c>
      <c r="E63" s="1" t="str">
        <f t="shared" si="9"/>
        <v>A6197</v>
      </c>
      <c r="F63" s="1" t="str">
        <f>T("10/25/2017")</f>
        <v>10/25/2017</v>
      </c>
      <c r="G63" s="1" t="str">
        <f t="shared" si="10"/>
        <v/>
      </c>
      <c r="H63" s="9" t="str">
        <f t="shared" si="10"/>
        <v/>
      </c>
    </row>
    <row r="64" spans="1:8" x14ac:dyDescent="0.2">
      <c r="A64" s="3" t="s">
        <v>10</v>
      </c>
      <c r="B64" s="9" t="str">
        <f>T("CUTIMED SORBION SANA GENTLE 9 X 5 IN")</f>
        <v>CUTIMED SORBION SANA GENTLE 9 X 5 IN</v>
      </c>
      <c r="C64" s="9" t="str">
        <f>T("BSN MEDICAL INC")</f>
        <v>BSN MEDICAL INC</v>
      </c>
      <c r="D64" s="1" t="str">
        <f>T("73233-25")</f>
        <v>73233-25</v>
      </c>
      <c r="E64" s="1" t="str">
        <f t="shared" si="9"/>
        <v>A6197</v>
      </c>
      <c r="F64" s="1" t="str">
        <f>T("10/25/2017")</f>
        <v>10/25/2017</v>
      </c>
      <c r="G64" s="1" t="str">
        <f t="shared" si="10"/>
        <v/>
      </c>
      <c r="H64" s="9" t="str">
        <f t="shared" si="10"/>
        <v/>
      </c>
    </row>
    <row r="65" spans="1:8" x14ac:dyDescent="0.2">
      <c r="A65" s="3" t="s">
        <v>10</v>
      </c>
      <c r="B65" s="9" t="str">
        <f>T("SORBACT SUPERABSORBENT")</f>
        <v>SORBACT SUPERABSORBENT</v>
      </c>
      <c r="C65" s="9" t="str">
        <f>T("INTEGRATED HEALING TECHNOLOGIES LLC")</f>
        <v>INTEGRATED HEALING TECHNOLOGIES LLC</v>
      </c>
      <c r="D65" s="1" t="str">
        <f>T("98503")</f>
        <v>98503</v>
      </c>
      <c r="E65" s="1" t="str">
        <f t="shared" ref="E65:E70" si="11">T("A6198")</f>
        <v>A6198</v>
      </c>
      <c r="F65" s="1" t="str">
        <f>T("10/13/2017")</f>
        <v>10/13/2017</v>
      </c>
      <c r="G65" s="1" t="str">
        <f t="shared" si="10"/>
        <v/>
      </c>
      <c r="H65" s="9" t="str">
        <f t="shared" si="10"/>
        <v/>
      </c>
    </row>
    <row r="66" spans="1:8" x14ac:dyDescent="0.2">
      <c r="A66" s="3" t="s">
        <v>10</v>
      </c>
      <c r="B66" s="9" t="str">
        <f>T("SORBACT SUPERABSORBENT")</f>
        <v>SORBACT SUPERABSORBENT</v>
      </c>
      <c r="C66" s="9" t="str">
        <f>T("INTEGRATED HEALING TECHNOLOGIES LLC")</f>
        <v>INTEGRATED HEALING TECHNOLOGIES LLC</v>
      </c>
      <c r="D66" s="1" t="str">
        <f>T("98504")</f>
        <v>98504</v>
      </c>
      <c r="E66" s="1" t="str">
        <f t="shared" si="11"/>
        <v>A6198</v>
      </c>
      <c r="F66" s="1" t="str">
        <f>T("10/13/2017")</f>
        <v>10/13/2017</v>
      </c>
      <c r="G66" s="1" t="str">
        <f t="shared" si="10"/>
        <v/>
      </c>
      <c r="H66" s="9" t="str">
        <f t="shared" si="10"/>
        <v/>
      </c>
    </row>
    <row r="67" spans="1:8" x14ac:dyDescent="0.2">
      <c r="A67" s="3" t="s">
        <v>10</v>
      </c>
      <c r="B67" s="9" t="str">
        <f>T("KERRAMAX CARE GENTLE BORDER 10"" X 10""")</f>
        <v>KERRAMAX CARE GENTLE BORDER 10" X 10"</v>
      </c>
      <c r="C67" s="9" t="str">
        <f>T("CRAWFORD HEALTHCARE")</f>
        <v>CRAWFORD HEALTHCARE</v>
      </c>
      <c r="D67" s="1" t="str">
        <f>T("PRD500-1178")</f>
        <v>PRD500-1178</v>
      </c>
      <c r="E67" s="1" t="str">
        <f t="shared" si="11"/>
        <v>A6198</v>
      </c>
      <c r="F67" s="1" t="str">
        <f>T("10/19/2017")</f>
        <v>10/19/2017</v>
      </c>
      <c r="G67" s="1" t="str">
        <f t="shared" si="10"/>
        <v/>
      </c>
      <c r="H67" s="9" t="str">
        <f t="shared" si="10"/>
        <v/>
      </c>
    </row>
    <row r="68" spans="1:8" x14ac:dyDescent="0.2">
      <c r="A68" s="3" t="s">
        <v>10</v>
      </c>
      <c r="B68" s="9" t="str">
        <f>T("CUTIMED SORBION SACHET S 8 X 8 IN")</f>
        <v>CUTIMED SORBION SACHET S 8 X 8 IN</v>
      </c>
      <c r="C68" s="9" t="str">
        <f>T("BSN MEDICAL INC")</f>
        <v>BSN MEDICAL INC</v>
      </c>
      <c r="D68" s="1" t="str">
        <f>T("73232-15")</f>
        <v>73232-15</v>
      </c>
      <c r="E68" s="1" t="str">
        <f t="shared" si="11"/>
        <v>A6198</v>
      </c>
      <c r="F68" s="1" t="str">
        <f>T("10/25/2017")</f>
        <v>10/25/2017</v>
      </c>
      <c r="G68" s="1" t="str">
        <f t="shared" si="10"/>
        <v/>
      </c>
      <c r="H68" s="9" t="str">
        <f t="shared" si="10"/>
        <v/>
      </c>
    </row>
    <row r="69" spans="1:8" x14ac:dyDescent="0.2">
      <c r="A69" s="3" t="s">
        <v>10</v>
      </c>
      <c r="B69" s="9" t="str">
        <f>T("CUTIMED SORBION SACHET S 12 X 8 IN")</f>
        <v>CUTIMED SORBION SACHET S 12 X 8 IN</v>
      </c>
      <c r="C69" s="9" t="str">
        <f>T("BSN MEDICAL INC")</f>
        <v>BSN MEDICAL INC</v>
      </c>
      <c r="D69" s="1" t="str">
        <f>T("73232-18")</f>
        <v>73232-18</v>
      </c>
      <c r="E69" s="1" t="str">
        <f t="shared" si="11"/>
        <v>A6198</v>
      </c>
      <c r="F69" s="1" t="str">
        <f>T("10/25/2017")</f>
        <v>10/25/2017</v>
      </c>
      <c r="G69" s="1" t="str">
        <f t="shared" si="10"/>
        <v/>
      </c>
      <c r="H69" s="9" t="str">
        <f t="shared" si="10"/>
        <v/>
      </c>
    </row>
    <row r="70" spans="1:8" x14ac:dyDescent="0.2">
      <c r="A70" s="3" t="s">
        <v>10</v>
      </c>
      <c r="B70" s="9" t="str">
        <f>T("CUTIMED SORBION SACHET XL 18 X 10 IN")</f>
        <v>CUTIMED SORBION SACHET XL 18 X 10 IN</v>
      </c>
      <c r="C70" s="9" t="str">
        <f>T("BSN MEDICAL INC")</f>
        <v>BSN MEDICAL INC</v>
      </c>
      <c r="D70" s="1" t="str">
        <f>T("73240-00")</f>
        <v>73240-00</v>
      </c>
      <c r="E70" s="1" t="str">
        <f t="shared" si="11"/>
        <v>A6198</v>
      </c>
      <c r="F70" s="1" t="str">
        <f>T("10/25/2017")</f>
        <v>10/25/2017</v>
      </c>
      <c r="G70" s="1" t="str">
        <f t="shared" si="10"/>
        <v/>
      </c>
      <c r="H70" s="9" t="str">
        <f t="shared" si="10"/>
        <v/>
      </c>
    </row>
    <row r="71" spans="1:8" x14ac:dyDescent="0.2">
      <c r="A71" s="3" t="s">
        <v>10</v>
      </c>
      <c r="B71" s="9" t="str">
        <f>T("SILVER ALGINATE WOUND DRESSING 2 X 30 CM")</f>
        <v>SILVER ALGINATE WOUND DRESSING 2 X 30 CM</v>
      </c>
      <c r="C71" s="9" t="str">
        <f>T("HEALQU LLC")</f>
        <v>HEALQU LLC</v>
      </c>
      <c r="D71" s="1" t="str">
        <f>T("9020105")</f>
        <v>9020105</v>
      </c>
      <c r="E71" s="1" t="str">
        <f>T("A6199")</f>
        <v>A6199</v>
      </c>
      <c r="F71" s="1" t="str">
        <f>T("10/23/2017")</f>
        <v>10/23/2017</v>
      </c>
      <c r="G71" s="1" t="str">
        <f t="shared" si="10"/>
        <v/>
      </c>
      <c r="H71" s="9" t="str">
        <f t="shared" si="10"/>
        <v/>
      </c>
    </row>
    <row r="72" spans="1:8" x14ac:dyDescent="0.2">
      <c r="A72" s="3" t="s">
        <v>10</v>
      </c>
      <c r="B72" s="9" t="str">
        <f>T("CALCIUM ALGINATE WOUND DRESSING 2 X 30 CM")</f>
        <v>CALCIUM ALGINATE WOUND DRESSING 2 X 30 CM</v>
      </c>
      <c r="C72" s="9" t="str">
        <f>T("HEALQU LLC")</f>
        <v>HEALQU LLC</v>
      </c>
      <c r="D72" s="1" t="str">
        <f>T("9020205")</f>
        <v>9020205</v>
      </c>
      <c r="E72" s="1" t="str">
        <f>T("A6199")</f>
        <v>A6199</v>
      </c>
      <c r="F72" s="1" t="str">
        <f>T("10/23/2017")</f>
        <v>10/23/2017</v>
      </c>
      <c r="G72" s="1" t="str">
        <f t="shared" si="10"/>
        <v/>
      </c>
      <c r="H72" s="9" t="str">
        <f t="shared" si="10"/>
        <v/>
      </c>
    </row>
    <row r="73" spans="1:8" x14ac:dyDescent="0.2">
      <c r="A73" s="3" t="s">
        <v>10</v>
      </c>
      <c r="B73" s="9" t="str">
        <f>T("SORBACT SURGICAL DRESSING 8 X 10 CM")</f>
        <v>SORBACT SURGICAL DRESSING 8 X 10 CM</v>
      </c>
      <c r="C73" s="9" t="str">
        <f t="shared" ref="C73:C78" si="12">T("INTEGRATED HEALING TECHNOLOGIES LLC")</f>
        <v>INTEGRATED HEALING TECHNOLOGIES LLC</v>
      </c>
      <c r="D73" s="1" t="str">
        <f>T("98141")</f>
        <v>98141</v>
      </c>
      <c r="E73" s="1" t="str">
        <f>T("A6203")</f>
        <v>A6203</v>
      </c>
      <c r="F73" s="1" t="str">
        <f t="shared" ref="F73:F78" si="13">T("10/13/2017")</f>
        <v>10/13/2017</v>
      </c>
      <c r="G73" s="1" t="str">
        <f t="shared" si="10"/>
        <v/>
      </c>
      <c r="H73" s="9" t="str">
        <f t="shared" si="10"/>
        <v/>
      </c>
    </row>
    <row r="74" spans="1:8" x14ac:dyDescent="0.2">
      <c r="A74" s="3" t="s">
        <v>10</v>
      </c>
      <c r="B74" s="9" t="str">
        <f>T("SORBACT SURGICAL DRESSING 8 X 15 CM")</f>
        <v>SORBACT SURGICAL DRESSING 8 X 15 CM</v>
      </c>
      <c r="C74" s="9" t="str">
        <f t="shared" si="12"/>
        <v>INTEGRATED HEALING TECHNOLOGIES LLC</v>
      </c>
      <c r="D74" s="1" t="str">
        <f>T("98142")</f>
        <v>98142</v>
      </c>
      <c r="E74" s="1" t="str">
        <f>T("A6203")</f>
        <v>A6203</v>
      </c>
      <c r="F74" s="1" t="str">
        <f t="shared" si="13"/>
        <v>10/13/2017</v>
      </c>
      <c r="G74" s="1" t="str">
        <f t="shared" si="10"/>
        <v/>
      </c>
      <c r="H74" s="9" t="str">
        <f t="shared" si="10"/>
        <v/>
      </c>
    </row>
    <row r="75" spans="1:8" x14ac:dyDescent="0.2">
      <c r="A75" s="3" t="s">
        <v>10</v>
      </c>
      <c r="B75" s="9" t="str">
        <f>T("SORBACT SURGICAL DRESSING 10 X 20 CM")</f>
        <v>SORBACT SURGICAL DRESSING 10 X 20 CM</v>
      </c>
      <c r="C75" s="9" t="str">
        <f t="shared" si="12"/>
        <v>INTEGRATED HEALING TECHNOLOGIES LLC</v>
      </c>
      <c r="D75" s="1" t="str">
        <f>T("98143")</f>
        <v>98143</v>
      </c>
      <c r="E75" s="1" t="str">
        <f>T("A6203")</f>
        <v>A6203</v>
      </c>
      <c r="F75" s="1" t="str">
        <f t="shared" si="13"/>
        <v>10/13/2017</v>
      </c>
      <c r="G75" s="1" t="str">
        <f t="shared" si="10"/>
        <v/>
      </c>
      <c r="H75" s="9" t="str">
        <f t="shared" si="10"/>
        <v/>
      </c>
    </row>
    <row r="76" spans="1:8" x14ac:dyDescent="0.2">
      <c r="A76" s="3" t="s">
        <v>10</v>
      </c>
      <c r="B76" s="9" t="str">
        <f>T("SORBACT SURGICAL DRESSING 10 X 25 CM")</f>
        <v>SORBACT SURGICAL DRESSING 10 X 25 CM</v>
      </c>
      <c r="C76" s="9" t="str">
        <f t="shared" si="12"/>
        <v>INTEGRATED HEALING TECHNOLOGIES LLC</v>
      </c>
      <c r="D76" s="1" t="str">
        <f>T("98144")</f>
        <v>98144</v>
      </c>
      <c r="E76" s="1" t="str">
        <f>T("A6203")</f>
        <v>A6203</v>
      </c>
      <c r="F76" s="1" t="str">
        <f t="shared" si="13"/>
        <v>10/13/2017</v>
      </c>
      <c r="G76" s="1" t="str">
        <f t="shared" si="10"/>
        <v/>
      </c>
      <c r="H76" s="9" t="str">
        <f t="shared" si="10"/>
        <v/>
      </c>
    </row>
    <row r="77" spans="1:8" x14ac:dyDescent="0.2">
      <c r="A77" s="3" t="s">
        <v>10</v>
      </c>
      <c r="B77" s="9" t="str">
        <f>T("SORBACT SURGICAL DRESSING 10 X 30 CM")</f>
        <v>SORBACT SURGICAL DRESSING 10 X 30 CM</v>
      </c>
      <c r="C77" s="9" t="str">
        <f t="shared" si="12"/>
        <v>INTEGRATED HEALING TECHNOLOGIES LLC</v>
      </c>
      <c r="D77" s="1" t="str">
        <f>T("98145")</f>
        <v>98145</v>
      </c>
      <c r="E77" s="1" t="str">
        <f>T("A6204")</f>
        <v>A6204</v>
      </c>
      <c r="F77" s="1" t="str">
        <f t="shared" si="13"/>
        <v>10/13/2017</v>
      </c>
      <c r="G77" s="1" t="str">
        <f t="shared" si="10"/>
        <v/>
      </c>
      <c r="H77" s="9" t="str">
        <f t="shared" si="10"/>
        <v/>
      </c>
    </row>
    <row r="78" spans="1:8" x14ac:dyDescent="0.2">
      <c r="A78" s="3" t="s">
        <v>10</v>
      </c>
      <c r="B78" s="9" t="str">
        <f>T("SORBACT SURGICAL DRESSING 10 X 35 CM")</f>
        <v>SORBACT SURGICAL DRESSING 10 X 35 CM</v>
      </c>
      <c r="C78" s="9" t="str">
        <f t="shared" si="12"/>
        <v>INTEGRATED HEALING TECHNOLOGIES LLC</v>
      </c>
      <c r="D78" s="1" t="str">
        <f>T("98146")</f>
        <v>98146</v>
      </c>
      <c r="E78" s="1" t="str">
        <f>T("A6204")</f>
        <v>A6204</v>
      </c>
      <c r="F78" s="1" t="str">
        <f t="shared" si="13"/>
        <v>10/13/2017</v>
      </c>
      <c r="G78" s="1" t="str">
        <f t="shared" si="10"/>
        <v/>
      </c>
      <c r="H78" s="9" t="str">
        <f t="shared" si="10"/>
        <v/>
      </c>
    </row>
    <row r="79" spans="1:8" x14ac:dyDescent="0.2">
      <c r="A79" s="3" t="s">
        <v>10</v>
      </c>
      <c r="B79" s="9" t="s">
        <v>19</v>
      </c>
      <c r="C79" s="9" t="s">
        <v>86</v>
      </c>
      <c r="D79" s="1" t="s">
        <v>107</v>
      </c>
      <c r="E79" s="1" t="s">
        <v>164</v>
      </c>
      <c r="F79" s="1" t="s">
        <v>189</v>
      </c>
      <c r="G79" s="1" t="s">
        <v>7</v>
      </c>
      <c r="H79" s="9" t="s">
        <v>7</v>
      </c>
    </row>
    <row r="80" spans="1:8" x14ac:dyDescent="0.2">
      <c r="A80" s="3" t="s">
        <v>10</v>
      </c>
      <c r="B80" s="9" t="str">
        <f>T("ALLEVYN LIFE NON-BORDERED")</f>
        <v>ALLEVYN LIFE NON-BORDERED</v>
      </c>
      <c r="C80" s="9" t="str">
        <f>T("SMITH &amp; NEPHEW INC")</f>
        <v>SMITH &amp; NEPHEW INC</v>
      </c>
      <c r="D80" s="1" t="str">
        <f>T("66801748")</f>
        <v>66801748</v>
      </c>
      <c r="E80" s="1" t="str">
        <f>T("A6209")</f>
        <v>A6209</v>
      </c>
      <c r="F80" s="1" t="str">
        <f>T("10/25/2017")</f>
        <v>10/25/2017</v>
      </c>
      <c r="G80" s="1" t="str">
        <f>T("")</f>
        <v/>
      </c>
      <c r="H80" s="9" t="str">
        <f>T("")</f>
        <v/>
      </c>
    </row>
    <row r="81" spans="1:8" x14ac:dyDescent="0.2">
      <c r="A81" s="3" t="s">
        <v>10</v>
      </c>
      <c r="B81" s="9" t="s">
        <v>20</v>
      </c>
      <c r="C81" s="9" t="s">
        <v>86</v>
      </c>
      <c r="D81" s="1" t="s">
        <v>108</v>
      </c>
      <c r="E81" s="1" t="s">
        <v>165</v>
      </c>
      <c r="F81" s="1" t="s">
        <v>189</v>
      </c>
      <c r="G81" s="1" t="s">
        <v>7</v>
      </c>
      <c r="H81" s="9" t="s">
        <v>7</v>
      </c>
    </row>
    <row r="82" spans="1:8" x14ac:dyDescent="0.2">
      <c r="A82" s="3" t="s">
        <v>10</v>
      </c>
      <c r="B82" s="9" t="str">
        <f>T("ALLEVYN LIFE NON-BORDERED")</f>
        <v>ALLEVYN LIFE NON-BORDERED</v>
      </c>
      <c r="C82" s="9" t="str">
        <f>T("SMITH &amp; NEPHEW INC")</f>
        <v>SMITH &amp; NEPHEW INC</v>
      </c>
      <c r="D82" s="1" t="str">
        <f>T("66801749")</f>
        <v>66801749</v>
      </c>
      <c r="E82" s="1" t="str">
        <f>T("A6210")</f>
        <v>A6210</v>
      </c>
      <c r="F82" s="1" t="str">
        <f>T("10/25/2017")</f>
        <v>10/25/2017</v>
      </c>
      <c r="G82" s="1" t="str">
        <f t="shared" ref="G82:H91" si="14">T("")</f>
        <v/>
      </c>
      <c r="H82" s="9" t="str">
        <f t="shared" si="14"/>
        <v/>
      </c>
    </row>
    <row r="83" spans="1:8" x14ac:dyDescent="0.2">
      <c r="A83" s="3" t="s">
        <v>10</v>
      </c>
      <c r="B83" s="9" t="str">
        <f>T("ALLEVYN LIFE NON-BORDERED")</f>
        <v>ALLEVYN LIFE NON-BORDERED</v>
      </c>
      <c r="C83" s="9" t="str">
        <f>T("SMITH &amp; NEPHEW INC")</f>
        <v>SMITH &amp; NEPHEW INC</v>
      </c>
      <c r="D83" s="1" t="str">
        <f>T("66801751")</f>
        <v>66801751</v>
      </c>
      <c r="E83" s="1" t="str">
        <f>T("A6210")</f>
        <v>A6210</v>
      </c>
      <c r="F83" s="1" t="str">
        <f>T("10/25/2017")</f>
        <v>10/25/2017</v>
      </c>
      <c r="G83" s="1" t="str">
        <f t="shared" si="14"/>
        <v/>
      </c>
      <c r="H83" s="9" t="str">
        <f t="shared" si="14"/>
        <v/>
      </c>
    </row>
    <row r="84" spans="1:8" x14ac:dyDescent="0.2">
      <c r="A84" s="3" t="s">
        <v>10</v>
      </c>
      <c r="B84" s="9" t="str">
        <f>T("SORBACT FOAM GENTLE BORDER 3"" X 3""")</f>
        <v>SORBACT FOAM GENTLE BORDER 3" X 3"</v>
      </c>
      <c r="C84" s="9" t="str">
        <f>T("INTEGRATED HEALING TECHNOLOGIES LLC")</f>
        <v>INTEGRATED HEALING TECHNOLOGIES LLC</v>
      </c>
      <c r="D84" s="1" t="str">
        <f>T("98531")</f>
        <v>98531</v>
      </c>
      <c r="E84" s="1" t="str">
        <f>T("A6212")</f>
        <v>A6212</v>
      </c>
      <c r="F84" s="1" t="str">
        <f>T("10/23/2017")</f>
        <v>10/23/2017</v>
      </c>
      <c r="G84" s="1" t="str">
        <f t="shared" si="14"/>
        <v/>
      </c>
      <c r="H84" s="9" t="str">
        <f t="shared" si="14"/>
        <v/>
      </c>
    </row>
    <row r="85" spans="1:8" x14ac:dyDescent="0.2">
      <c r="A85" s="3" t="s">
        <v>10</v>
      </c>
      <c r="B85" s="9" t="str">
        <f>T("SORBACT FOAM GENTLE BORDER 4"" X 4""")</f>
        <v>SORBACT FOAM GENTLE BORDER 4" X 4"</v>
      </c>
      <c r="C85" s="9" t="str">
        <f>T("INTEGRATED HEALING TECHNOLOGIES LLC")</f>
        <v>INTEGRATED HEALING TECHNOLOGIES LLC</v>
      </c>
      <c r="D85" s="1" t="str">
        <f>T("98532")</f>
        <v>98532</v>
      </c>
      <c r="E85" s="1" t="str">
        <f>T("A6212")</f>
        <v>A6212</v>
      </c>
      <c r="F85" s="1" t="str">
        <f>T("10/23/2017")</f>
        <v>10/23/2017</v>
      </c>
      <c r="G85" s="1" t="str">
        <f t="shared" si="14"/>
        <v/>
      </c>
      <c r="H85" s="9" t="str">
        <f t="shared" si="14"/>
        <v/>
      </c>
    </row>
    <row r="86" spans="1:8" x14ac:dyDescent="0.2">
      <c r="A86" s="3" t="s">
        <v>10</v>
      </c>
      <c r="B86" s="9" t="str">
        <f>T("SUPRASORB P SACRUM (BORDERED FOAM DRESSING)")</f>
        <v>SUPRASORB P SACRUM (BORDERED FOAM DRESSING)</v>
      </c>
      <c r="C86" s="9" t="str">
        <f>T("L &amp; R USA INC")</f>
        <v>L &amp; R USA INC</v>
      </c>
      <c r="D86" s="1" t="str">
        <f>T("20415")</f>
        <v>20415</v>
      </c>
      <c r="E86" s="1" t="str">
        <f>T("A6213")</f>
        <v>A6213</v>
      </c>
      <c r="F86" s="1" t="str">
        <f>T("10/13/2017")</f>
        <v>10/13/2017</v>
      </c>
      <c r="G86" s="1" t="str">
        <f t="shared" si="14"/>
        <v/>
      </c>
      <c r="H86" s="9" t="str">
        <f t="shared" si="14"/>
        <v/>
      </c>
    </row>
    <row r="87" spans="1:8" x14ac:dyDescent="0.2">
      <c r="A87" s="3" t="s">
        <v>10</v>
      </c>
      <c r="B87" s="9" t="str">
        <f>T("SORBACT FOAM GENTLE BORDER 6"" X 6""")</f>
        <v>SORBACT FOAM GENTLE BORDER 6" X 6"</v>
      </c>
      <c r="C87" s="9" t="str">
        <f>T("INTEGRATED HEALING TECHNOLOGIES LLC")</f>
        <v>INTEGRATED HEALING TECHNOLOGIES LLC</v>
      </c>
      <c r="D87" s="1" t="str">
        <f>T("98533")</f>
        <v>98533</v>
      </c>
      <c r="E87" s="1" t="str">
        <f>T("A6213")</f>
        <v>A6213</v>
      </c>
      <c r="F87" s="1" t="str">
        <f>T("10/13/2017")</f>
        <v>10/13/2017</v>
      </c>
      <c r="G87" s="1" t="str">
        <f t="shared" si="14"/>
        <v/>
      </c>
      <c r="H87" s="9" t="str">
        <f t="shared" si="14"/>
        <v/>
      </c>
    </row>
    <row r="88" spans="1:8" x14ac:dyDescent="0.2">
      <c r="A88" s="3" t="s">
        <v>10</v>
      </c>
      <c r="B88" s="9" t="str">
        <f>T("ALLEVYN GENTLE BORDER CLASSIC")</f>
        <v>ALLEVYN GENTLE BORDER CLASSIC</v>
      </c>
      <c r="C88" s="9" t="str">
        <f>T("SMITH &amp; NEPHEW INC")</f>
        <v>SMITH &amp; NEPHEW INC</v>
      </c>
      <c r="D88" s="1" t="str">
        <f>T("66800900")</f>
        <v>66800900</v>
      </c>
      <c r="E88" s="1" t="str">
        <f>T("A6213")</f>
        <v>A6213</v>
      </c>
      <c r="F88" s="1" t="str">
        <f>T("10/23/2017")</f>
        <v>10/23/2017</v>
      </c>
      <c r="G88" s="1" t="str">
        <f t="shared" si="14"/>
        <v/>
      </c>
      <c r="H88" s="9" t="str">
        <f t="shared" si="14"/>
        <v/>
      </c>
    </row>
    <row r="89" spans="1:8" x14ac:dyDescent="0.2">
      <c r="A89" s="3" t="s">
        <v>10</v>
      </c>
      <c r="B89" s="9" t="str">
        <f>T("ALLEVYN GENTLE BORDER CLASSIC")</f>
        <v>ALLEVYN GENTLE BORDER CLASSIC</v>
      </c>
      <c r="C89" s="9" t="str">
        <f>T("SMITH &amp; NEPHEW INC")</f>
        <v>SMITH &amp; NEPHEW INC</v>
      </c>
      <c r="D89" s="1" t="str">
        <f>T("66800264")</f>
        <v>66800264</v>
      </c>
      <c r="E89" s="1" t="str">
        <f>T("A6213")</f>
        <v>A6213</v>
      </c>
      <c r="F89" s="1" t="str">
        <f>T("10/23/2017")</f>
        <v>10/23/2017</v>
      </c>
      <c r="G89" s="1" t="str">
        <f t="shared" si="14"/>
        <v/>
      </c>
      <c r="H89" s="9" t="str">
        <f t="shared" si="14"/>
        <v/>
      </c>
    </row>
    <row r="90" spans="1:8" x14ac:dyDescent="0.2">
      <c r="A90" s="3" t="s">
        <v>10</v>
      </c>
      <c r="B90" s="9" t="str">
        <f>T("ALLEVYN GENTLE BORDER CLASSIC")</f>
        <v>ALLEVYN GENTLE BORDER CLASSIC</v>
      </c>
      <c r="C90" s="9" t="str">
        <f>T("SMITH &amp; NEPHEW INC")</f>
        <v>SMITH &amp; NEPHEW INC</v>
      </c>
      <c r="D90" s="1" t="str">
        <f>T("66800265")</f>
        <v>66800265</v>
      </c>
      <c r="E90" s="1" t="str">
        <f>T("A6213")</f>
        <v>A6213</v>
      </c>
      <c r="F90" s="1" t="str">
        <f>T("10/23/2017")</f>
        <v>10/23/2017</v>
      </c>
      <c r="G90" s="1" t="str">
        <f t="shared" si="14"/>
        <v/>
      </c>
      <c r="H90" s="9" t="str">
        <f t="shared" si="14"/>
        <v/>
      </c>
    </row>
    <row r="91" spans="1:8" x14ac:dyDescent="0.2">
      <c r="A91" s="3" t="s">
        <v>11</v>
      </c>
      <c r="B91" s="9" t="str">
        <f>T("HEXAGEN WOUND DRESSING")</f>
        <v>HEXAGEN WOUND DRESSING</v>
      </c>
      <c r="C91" s="9" t="str">
        <f>T("GLOBAL HEALTH SOLUTIONS LLC")</f>
        <v>GLOBAL HEALTH SOLUTIONS LLC</v>
      </c>
      <c r="D91" s="1" t="str">
        <f>T("002-30")</f>
        <v>002-30</v>
      </c>
      <c r="E91" s="1" t="str">
        <f>T("A6250")</f>
        <v>A6250</v>
      </c>
      <c r="F91" s="1" t="str">
        <f>T("10/12/2017")</f>
        <v>10/12/2017</v>
      </c>
      <c r="G91" s="1" t="str">
        <f t="shared" si="14"/>
        <v/>
      </c>
      <c r="H91" s="9" t="str">
        <f t="shared" si="14"/>
        <v/>
      </c>
    </row>
    <row r="92" spans="1:8" x14ac:dyDescent="0.2">
      <c r="A92" s="3" t="s">
        <v>11</v>
      </c>
      <c r="B92" s="10" t="s">
        <v>34</v>
      </c>
      <c r="C92" s="10" t="s">
        <v>93</v>
      </c>
      <c r="D92" s="3">
        <v>98143</v>
      </c>
      <c r="E92" s="3" t="s">
        <v>174</v>
      </c>
      <c r="F92" s="4">
        <v>41108</v>
      </c>
      <c r="G92" s="4">
        <v>43020</v>
      </c>
      <c r="H92" s="10"/>
    </row>
    <row r="93" spans="1:8" x14ac:dyDescent="0.2">
      <c r="A93" s="3" t="s">
        <v>11</v>
      </c>
      <c r="B93" s="10" t="s">
        <v>35</v>
      </c>
      <c r="C93" s="10" t="s">
        <v>93</v>
      </c>
      <c r="D93" s="3">
        <v>98140</v>
      </c>
      <c r="E93" s="3" t="s">
        <v>174</v>
      </c>
      <c r="F93" s="4">
        <v>41108</v>
      </c>
      <c r="G93" s="4">
        <v>43020</v>
      </c>
      <c r="H93" s="10"/>
    </row>
    <row r="94" spans="1:8" x14ac:dyDescent="0.2">
      <c r="A94" s="3" t="s">
        <v>11</v>
      </c>
      <c r="B94" s="10" t="s">
        <v>36</v>
      </c>
      <c r="C94" s="10" t="s">
        <v>93</v>
      </c>
      <c r="D94" s="3">
        <v>98141</v>
      </c>
      <c r="E94" s="3" t="s">
        <v>174</v>
      </c>
      <c r="F94" s="4">
        <v>41108</v>
      </c>
      <c r="G94" s="4">
        <v>43020</v>
      </c>
      <c r="H94" s="10"/>
    </row>
    <row r="95" spans="1:8" x14ac:dyDescent="0.2">
      <c r="A95" s="3" t="s">
        <v>11</v>
      </c>
      <c r="B95" s="10" t="s">
        <v>37</v>
      </c>
      <c r="C95" s="10" t="s">
        <v>93</v>
      </c>
      <c r="D95" s="3">
        <v>98142</v>
      </c>
      <c r="E95" s="3" t="s">
        <v>174</v>
      </c>
      <c r="F95" s="4">
        <v>41108</v>
      </c>
      <c r="G95" s="4">
        <v>43020</v>
      </c>
      <c r="H95" s="10"/>
    </row>
    <row r="96" spans="1:8" x14ac:dyDescent="0.2">
      <c r="A96" s="3" t="s">
        <v>11</v>
      </c>
      <c r="B96" s="10" t="s">
        <v>38</v>
      </c>
      <c r="C96" s="10" t="s">
        <v>93</v>
      </c>
      <c r="D96" s="3">
        <v>98144</v>
      </c>
      <c r="E96" s="3" t="s">
        <v>175</v>
      </c>
      <c r="F96" s="4">
        <v>41108</v>
      </c>
      <c r="G96" s="4">
        <v>43020</v>
      </c>
      <c r="H96" s="10"/>
    </row>
    <row r="97" spans="1:8" x14ac:dyDescent="0.2">
      <c r="A97" s="3" t="s">
        <v>11</v>
      </c>
      <c r="B97" s="10" t="s">
        <v>39</v>
      </c>
      <c r="C97" s="10" t="s">
        <v>93</v>
      </c>
      <c r="D97" s="3">
        <v>98146</v>
      </c>
      <c r="E97" s="3" t="s">
        <v>175</v>
      </c>
      <c r="F97" s="4">
        <v>41108</v>
      </c>
      <c r="G97" s="4">
        <v>43020</v>
      </c>
      <c r="H97" s="10"/>
    </row>
    <row r="98" spans="1:8" x14ac:dyDescent="0.2">
      <c r="A98" s="3" t="s">
        <v>11</v>
      </c>
      <c r="B98" s="10" t="s">
        <v>40</v>
      </c>
      <c r="C98" s="10" t="s">
        <v>93</v>
      </c>
      <c r="D98" s="3">
        <v>98145</v>
      </c>
      <c r="E98" s="3" t="s">
        <v>175</v>
      </c>
      <c r="F98" s="4">
        <v>41108</v>
      </c>
      <c r="G98" s="4">
        <v>43020</v>
      </c>
      <c r="H98" s="10"/>
    </row>
    <row r="99" spans="1:8" x14ac:dyDescent="0.2">
      <c r="A99" s="3" t="s">
        <v>10</v>
      </c>
      <c r="B99" s="9" t="str">
        <f>T("SORBACT SURGICAL DRESSING 5 X 7.2 CM")</f>
        <v>SORBACT SURGICAL DRESSING 5 X 7.2 CM</v>
      </c>
      <c r="C99" s="9" t="str">
        <f>T("INTEGRATED HEALING TECHNOLOGIES LLC")</f>
        <v>INTEGRATED HEALING TECHNOLOGIES LLC</v>
      </c>
      <c r="D99" s="1" t="str">
        <f>T("98140")</f>
        <v>98140</v>
      </c>
      <c r="E99" s="1" t="str">
        <f>T("A6413")</f>
        <v>A6413</v>
      </c>
      <c r="F99" s="1" t="str">
        <f>T("10/13/2017")</f>
        <v>10/13/2017</v>
      </c>
      <c r="G99" s="1" t="str">
        <f t="shared" ref="G99:H102" si="15">T("")</f>
        <v/>
      </c>
      <c r="H99" s="9" t="str">
        <f t="shared" si="15"/>
        <v/>
      </c>
    </row>
    <row r="100" spans="1:8" x14ac:dyDescent="0.2">
      <c r="A100" s="3" t="s">
        <v>10</v>
      </c>
      <c r="B100" s="9" t="str">
        <f>T("PRO-MINI CANISTER 140ML")</f>
        <v>PRO-MINI CANISTER 140ML</v>
      </c>
      <c r="C100" s="9" t="str">
        <f>T("DEROYAL INDUSTRIES INC")</f>
        <v>DEROYAL INDUSTRIES INC</v>
      </c>
      <c r="D100" s="1" t="str">
        <f>T("NP-1140-US")</f>
        <v>NP-1140-US</v>
      </c>
      <c r="E100" s="1" t="str">
        <f>T("A7000")</f>
        <v>A7000</v>
      </c>
      <c r="F100" s="1" t="str">
        <f>T("10/10/2017")</f>
        <v>10/10/2017</v>
      </c>
      <c r="G100" s="1" t="str">
        <f t="shared" si="15"/>
        <v/>
      </c>
      <c r="H100" s="9" t="str">
        <f t="shared" si="15"/>
        <v/>
      </c>
    </row>
    <row r="101" spans="1:8" x14ac:dyDescent="0.2">
      <c r="A101" s="3" t="s">
        <v>10</v>
      </c>
      <c r="B101" s="9" t="str">
        <f>T("PRO-MINI CANISTER 400ML")</f>
        <v>PRO-MINI CANISTER 400ML</v>
      </c>
      <c r="C101" s="9" t="str">
        <f>T("DEROYAL INDUSTRIES INC")</f>
        <v>DEROYAL INDUSTRIES INC</v>
      </c>
      <c r="D101" s="1" t="str">
        <f>T("NP-1400-US")</f>
        <v>NP-1400-US</v>
      </c>
      <c r="E101" s="1" t="str">
        <f>T("A7000")</f>
        <v>A7000</v>
      </c>
      <c r="F101" s="1" t="str">
        <f>T("10/10/2017")</f>
        <v>10/10/2017</v>
      </c>
      <c r="G101" s="1" t="str">
        <f t="shared" si="15"/>
        <v/>
      </c>
      <c r="H101" s="9" t="str">
        <f t="shared" si="15"/>
        <v/>
      </c>
    </row>
    <row r="102" spans="1:8" x14ac:dyDescent="0.2">
      <c r="A102" s="3" t="s">
        <v>10</v>
      </c>
      <c r="B102" s="9" t="str">
        <f>T("PRO-MINI CANISTER 600ML")</f>
        <v>PRO-MINI CANISTER 600ML</v>
      </c>
      <c r="C102" s="9" t="str">
        <f>T("DEROYAL INDUSTRIES INC")</f>
        <v>DEROYAL INDUSTRIES INC</v>
      </c>
      <c r="D102" s="1" t="str">
        <f>T("NP-1600-US")</f>
        <v>NP-1600-US</v>
      </c>
      <c r="E102" s="1" t="str">
        <f>T("A7000")</f>
        <v>A7000</v>
      </c>
      <c r="F102" s="1" t="str">
        <f>T("10/10/2017")</f>
        <v>10/10/2017</v>
      </c>
      <c r="G102" s="1" t="str">
        <f t="shared" si="15"/>
        <v/>
      </c>
      <c r="H102" s="9" t="str">
        <f t="shared" si="15"/>
        <v/>
      </c>
    </row>
    <row r="103" spans="1:8" x14ac:dyDescent="0.2">
      <c r="A103" s="3" t="s">
        <v>10</v>
      </c>
      <c r="B103" s="9" t="s">
        <v>21</v>
      </c>
      <c r="C103" s="9" t="s">
        <v>85</v>
      </c>
      <c r="D103" s="1" t="s">
        <v>109</v>
      </c>
      <c r="E103" s="1" t="s">
        <v>8</v>
      </c>
      <c r="F103" s="1" t="s">
        <v>189</v>
      </c>
      <c r="G103" s="1" t="s">
        <v>7</v>
      </c>
      <c r="H103" s="9" t="s">
        <v>7</v>
      </c>
    </row>
    <row r="104" spans="1:8" x14ac:dyDescent="0.2">
      <c r="A104" s="3" t="s">
        <v>10</v>
      </c>
      <c r="B104" s="9" t="str">
        <f>T("TRENDSETTER")</f>
        <v>TRENDSETTER</v>
      </c>
      <c r="C104" s="9" t="str">
        <f>T("B &amp; S PARTNERS INC (DBA PILGRIM SHOES)")</f>
        <v>B &amp; S PARTNERS INC (DBA PILGRIM SHOES)</v>
      </c>
      <c r="D104" s="1" t="str">
        <f>T("D2208")</f>
        <v>D2208</v>
      </c>
      <c r="E104" s="1" t="str">
        <f t="shared" ref="E104:E116" si="16">T("A9270")</f>
        <v>A9270</v>
      </c>
      <c r="F104" s="1" t="str">
        <f>T("10/03/2017")</f>
        <v>10/03/2017</v>
      </c>
      <c r="G104" s="1" t="str">
        <f t="shared" ref="G104:H116" si="17">T("")</f>
        <v/>
      </c>
      <c r="H104" s="9" t="str">
        <f t="shared" si="17"/>
        <v/>
      </c>
    </row>
    <row r="105" spans="1:8" x14ac:dyDescent="0.2">
      <c r="A105" s="3" t="s">
        <v>10</v>
      </c>
      <c r="B105" s="9" t="str">
        <f>T("BARIATRIC WALKER")</f>
        <v>BARIATRIC WALKER</v>
      </c>
      <c r="C105" s="9" t="str">
        <f>T("DYNAREX CORP")</f>
        <v>DYNAREX CORP</v>
      </c>
      <c r="D105" s="1" t="str">
        <f>T("10165")</f>
        <v>10165</v>
      </c>
      <c r="E105" s="1" t="str">
        <f t="shared" si="16"/>
        <v>A9270</v>
      </c>
      <c r="F105" s="1" t="str">
        <f>T("10/03/2017")</f>
        <v>10/03/2017</v>
      </c>
      <c r="G105" s="1" t="str">
        <f t="shared" si="17"/>
        <v/>
      </c>
      <c r="H105" s="9" t="str">
        <f t="shared" si="17"/>
        <v/>
      </c>
    </row>
    <row r="106" spans="1:8" x14ac:dyDescent="0.2">
      <c r="A106" s="3" t="s">
        <v>10</v>
      </c>
      <c r="B106" s="9" t="str">
        <f>T("BARIATRIC WALKER WITH TWO FRONT WHEELS")</f>
        <v>BARIATRIC WALKER WITH TWO FRONT WHEELS</v>
      </c>
      <c r="C106" s="9" t="str">
        <f>T("DYNAREX CORP")</f>
        <v>DYNAREX CORP</v>
      </c>
      <c r="D106" s="1" t="str">
        <f>T("10166")</f>
        <v>10166</v>
      </c>
      <c r="E106" s="1" t="str">
        <f t="shared" si="16"/>
        <v>A9270</v>
      </c>
      <c r="F106" s="1" t="str">
        <f>T("10/03/2017")</f>
        <v>10/03/2017</v>
      </c>
      <c r="G106" s="1" t="str">
        <f t="shared" si="17"/>
        <v/>
      </c>
      <c r="H106" s="9" t="str">
        <f t="shared" si="17"/>
        <v/>
      </c>
    </row>
    <row r="107" spans="1:8" ht="15.75" customHeight="1" x14ac:dyDescent="0.2">
      <c r="A107" s="3" t="s">
        <v>10</v>
      </c>
      <c r="B107" s="9" t="str">
        <f>T("PATHFINDER")</f>
        <v>PATHFINDER</v>
      </c>
      <c r="C107" s="9" t="str">
        <f>T("B &amp; S PARTNERS INC (DBA PILGRIM SHOES)")</f>
        <v>B &amp; S PARTNERS INC (DBA PILGRIM SHOES)</v>
      </c>
      <c r="D107" s="1" t="str">
        <f>T("D2017")</f>
        <v>D2017</v>
      </c>
      <c r="E107" s="1" t="str">
        <f t="shared" si="16"/>
        <v>A9270</v>
      </c>
      <c r="F107" s="1" t="str">
        <f>T("10/03/2017")</f>
        <v>10/03/2017</v>
      </c>
      <c r="G107" s="1" t="str">
        <f t="shared" si="17"/>
        <v/>
      </c>
      <c r="H107" s="9" t="str">
        <f t="shared" si="17"/>
        <v/>
      </c>
    </row>
    <row r="108" spans="1:8" x14ac:dyDescent="0.2">
      <c r="A108" s="3" t="s">
        <v>10</v>
      </c>
      <c r="B108" s="9" t="str">
        <f>T("CUSTOM FORMED DIABETIC INSERT")</f>
        <v>CUSTOM FORMED DIABETIC INSERT</v>
      </c>
      <c r="C108" s="9" t="str">
        <f>T("PLS DIABETIC SHOE COMPANY INC")</f>
        <v>PLS DIABETIC SHOE COMPANY INC</v>
      </c>
      <c r="D108" s="1" t="str">
        <f>T("P5513VF")</f>
        <v>P5513VF</v>
      </c>
      <c r="E108" s="1" t="str">
        <f t="shared" si="16"/>
        <v>A9270</v>
      </c>
      <c r="F108" s="1" t="str">
        <f>T("10/09/2017")</f>
        <v>10/09/2017</v>
      </c>
      <c r="G108" s="1" t="str">
        <f t="shared" si="17"/>
        <v/>
      </c>
      <c r="H108" s="9" t="str">
        <f t="shared" si="17"/>
        <v/>
      </c>
    </row>
    <row r="109" spans="1:8" x14ac:dyDescent="0.2">
      <c r="A109" s="3" t="s">
        <v>10</v>
      </c>
      <c r="B109" s="9" t="str">
        <f>T("SIMPURITY HYDROGEL DRESSING 2 X 2 INCH WITH ADHESIVE BORDER")</f>
        <v>SIMPURITY HYDROGEL DRESSING 2 X 2 INCH WITH ADHESIVE BORDER</v>
      </c>
      <c r="C109" s="9" t="str">
        <f>T("SAFE N SIMPLE LLC")</f>
        <v>SAFE N SIMPLE LLC</v>
      </c>
      <c r="D109" s="1" t="str">
        <f>T("SNS58312")</f>
        <v>SNS58312</v>
      </c>
      <c r="E109" s="1" t="str">
        <f t="shared" si="16"/>
        <v>A9270</v>
      </c>
      <c r="F109" s="1" t="str">
        <f>T("10/11/2017")</f>
        <v>10/11/2017</v>
      </c>
      <c r="G109" s="1" t="str">
        <f t="shared" si="17"/>
        <v/>
      </c>
      <c r="H109" s="9" t="str">
        <f t="shared" si="17"/>
        <v/>
      </c>
    </row>
    <row r="110" spans="1:8" x14ac:dyDescent="0.2">
      <c r="A110" s="3" t="s">
        <v>10</v>
      </c>
      <c r="B110" s="9" t="str">
        <f>T("SAFE N SIMPLE SIMPURITY HYDROGEL DRESSING 2 X 2 INCH")</f>
        <v>SAFE N SIMPLE SIMPURITY HYDROGEL DRESSING 2 X 2 INCH</v>
      </c>
      <c r="C110" s="9" t="str">
        <f>T("SAFE N SIMPLE LLC")</f>
        <v>SAFE N SIMPLE LLC</v>
      </c>
      <c r="D110" s="1" t="str">
        <f>T("SNS58302")</f>
        <v>SNS58302</v>
      </c>
      <c r="E110" s="1" t="str">
        <f t="shared" si="16"/>
        <v>A9270</v>
      </c>
      <c r="F110" s="1" t="str">
        <f>T("10/11/2017")</f>
        <v>10/11/2017</v>
      </c>
      <c r="G110" s="1" t="str">
        <f t="shared" si="17"/>
        <v/>
      </c>
      <c r="H110" s="9" t="str">
        <f t="shared" si="17"/>
        <v/>
      </c>
    </row>
    <row r="111" spans="1:8" x14ac:dyDescent="0.2">
      <c r="A111" s="3" t="s">
        <v>10</v>
      </c>
      <c r="B111" s="9" t="str">
        <f>T("CUSTOM MOLDED DIABETIC INSERT")</f>
        <v>CUSTOM MOLDED DIABETIC INSERT</v>
      </c>
      <c r="C111" s="9" t="str">
        <f>T("OREGON PEDORTHIC SERVICES INC (DBA ARCH FITTERS)")</f>
        <v>OREGON PEDORTHIC SERVICES INC (DBA ARCH FITTERS)</v>
      </c>
      <c r="D111" s="1" t="str">
        <f>T("M901")</f>
        <v>M901</v>
      </c>
      <c r="E111" s="1" t="str">
        <f t="shared" si="16"/>
        <v>A9270</v>
      </c>
      <c r="F111" s="1" t="str">
        <f>T("10/13/2017")</f>
        <v>10/13/2017</v>
      </c>
      <c r="G111" s="1" t="str">
        <f t="shared" si="17"/>
        <v/>
      </c>
      <c r="H111" s="9" t="str">
        <f t="shared" si="17"/>
        <v/>
      </c>
    </row>
    <row r="112" spans="1:8" x14ac:dyDescent="0.2">
      <c r="A112" s="3" t="s">
        <v>10</v>
      </c>
      <c r="B112" s="9" t="str">
        <f>T("STANDARD TRI-LAMINATE CUSTOM DIABETIC INSERTS")</f>
        <v>STANDARD TRI-LAMINATE CUSTOM DIABETIC INSERTS</v>
      </c>
      <c r="C112" s="9" t="str">
        <f>T("FOOTCARE STORE INC (DBA DIA-FOOT)")</f>
        <v>FOOTCARE STORE INC (DBA DIA-FOOT)</v>
      </c>
      <c r="D112" s="1" t="str">
        <f>T("")</f>
        <v/>
      </c>
      <c r="E112" s="1" t="str">
        <f t="shared" si="16"/>
        <v>A9270</v>
      </c>
      <c r="F112" s="1" t="str">
        <f>T("10/23/2017")</f>
        <v>10/23/2017</v>
      </c>
      <c r="G112" s="1" t="str">
        <f t="shared" si="17"/>
        <v/>
      </c>
      <c r="H112" s="9" t="str">
        <f t="shared" si="17"/>
        <v/>
      </c>
    </row>
    <row r="113" spans="1:8" x14ac:dyDescent="0.2">
      <c r="A113" s="3" t="s">
        <v>10</v>
      </c>
      <c r="B113" s="9" t="str">
        <f>T("THIN TRI-LAMINATE CUSTOM DIABETIC INSERTS")</f>
        <v>THIN TRI-LAMINATE CUSTOM DIABETIC INSERTS</v>
      </c>
      <c r="C113" s="9" t="str">
        <f>T("FOOTCARE STORE INC (DBA DIA-FOOT)")</f>
        <v>FOOTCARE STORE INC (DBA DIA-FOOT)</v>
      </c>
      <c r="D113" s="1" t="str">
        <f>T("")</f>
        <v/>
      </c>
      <c r="E113" s="1" t="str">
        <f t="shared" si="16"/>
        <v>A9270</v>
      </c>
      <c r="F113" s="1" t="str">
        <f>T("10/23/2017")</f>
        <v>10/23/2017</v>
      </c>
      <c r="G113" s="1" t="str">
        <f t="shared" si="17"/>
        <v/>
      </c>
      <c r="H113" s="9" t="str">
        <f t="shared" si="17"/>
        <v/>
      </c>
    </row>
    <row r="114" spans="1:8" x14ac:dyDescent="0.2">
      <c r="A114" s="3" t="s">
        <v>10</v>
      </c>
      <c r="B114" s="9" t="str">
        <f>T("STANDARD CUSHIONED TRI-LAMINATE CUSTOM DIABETIC INSERT")</f>
        <v>STANDARD CUSHIONED TRI-LAMINATE CUSTOM DIABETIC INSERT</v>
      </c>
      <c r="C114" s="9" t="str">
        <f>T("FOOTCARE STORE INC (DBA DIA-FOOT)")</f>
        <v>FOOTCARE STORE INC (DBA DIA-FOOT)</v>
      </c>
      <c r="D114" s="1" t="str">
        <f>T("")</f>
        <v/>
      </c>
      <c r="E114" s="1" t="str">
        <f t="shared" si="16"/>
        <v>A9270</v>
      </c>
      <c r="F114" s="1" t="str">
        <f>T("10/23/2017")</f>
        <v>10/23/2017</v>
      </c>
      <c r="G114" s="1" t="str">
        <f t="shared" si="17"/>
        <v/>
      </c>
      <c r="H114" s="9" t="str">
        <f t="shared" si="17"/>
        <v/>
      </c>
    </row>
    <row r="115" spans="1:8" x14ac:dyDescent="0.2">
      <c r="A115" s="3" t="s">
        <v>10</v>
      </c>
      <c r="B115" s="9" t="str">
        <f>T("O2VENT T")</f>
        <v>O2VENT T</v>
      </c>
      <c r="C115" s="9" t="str">
        <f>T("OVENTUS MEDICAL LTD")</f>
        <v>OVENTUS MEDICAL LTD</v>
      </c>
      <c r="D115" s="1" t="str">
        <f>T("O2VTDLUS")</f>
        <v>O2VTDLUS</v>
      </c>
      <c r="E115" s="1" t="str">
        <f t="shared" si="16"/>
        <v>A9270</v>
      </c>
      <c r="F115" s="1" t="str">
        <f>T("10/25/2017")</f>
        <v>10/25/2017</v>
      </c>
      <c r="G115" s="1" t="str">
        <f t="shared" si="17"/>
        <v/>
      </c>
      <c r="H115" s="9" t="str">
        <f t="shared" si="17"/>
        <v/>
      </c>
    </row>
    <row r="116" spans="1:8" x14ac:dyDescent="0.2">
      <c r="A116" s="3" t="s">
        <v>10</v>
      </c>
      <c r="B116" s="9" t="str">
        <f>T("O2VENT T")</f>
        <v>O2VENT T</v>
      </c>
      <c r="C116" s="9" t="str">
        <f>T("OVENTUS MEDICAL LTD")</f>
        <v>OVENTUS MEDICAL LTD</v>
      </c>
      <c r="D116" s="1" t="str">
        <f>T("O2VTDLTUS")</f>
        <v>O2VTDLTUS</v>
      </c>
      <c r="E116" s="1" t="str">
        <f t="shared" si="16"/>
        <v>A9270</v>
      </c>
      <c r="F116" s="1" t="str">
        <f>T("10/25/2017")</f>
        <v>10/25/2017</v>
      </c>
      <c r="G116" s="1" t="str">
        <f t="shared" si="17"/>
        <v/>
      </c>
      <c r="H116" s="9" t="str">
        <f t="shared" si="17"/>
        <v/>
      </c>
    </row>
    <row r="117" spans="1:8" x14ac:dyDescent="0.2">
      <c r="A117" s="3" t="s">
        <v>11</v>
      </c>
      <c r="B117" s="10" t="s">
        <v>30</v>
      </c>
      <c r="C117" s="10" t="s">
        <v>92</v>
      </c>
      <c r="D117" s="2" t="s">
        <v>120</v>
      </c>
      <c r="E117" s="3" t="s">
        <v>172</v>
      </c>
      <c r="F117" s="4">
        <v>42951</v>
      </c>
      <c r="G117" s="4">
        <v>43017</v>
      </c>
      <c r="H117" s="10"/>
    </row>
    <row r="118" spans="1:8" x14ac:dyDescent="0.2">
      <c r="A118" s="3" t="s">
        <v>11</v>
      </c>
      <c r="B118" s="10" t="s">
        <v>49</v>
      </c>
      <c r="C118" s="10" t="s">
        <v>95</v>
      </c>
      <c r="D118" s="3"/>
      <c r="E118" s="3" t="s">
        <v>181</v>
      </c>
      <c r="F118" s="4">
        <v>39448</v>
      </c>
      <c r="G118" s="4">
        <v>41351</v>
      </c>
      <c r="H118" s="9" t="s">
        <v>195</v>
      </c>
    </row>
    <row r="119" spans="1:8" x14ac:dyDescent="0.2">
      <c r="A119" s="3" t="s">
        <v>11</v>
      </c>
      <c r="B119" s="10" t="s">
        <v>31</v>
      </c>
      <c r="C119" s="10" t="s">
        <v>92</v>
      </c>
      <c r="D119" s="2" t="s">
        <v>121</v>
      </c>
      <c r="E119" s="3" t="s">
        <v>173</v>
      </c>
      <c r="F119" s="4">
        <v>42951</v>
      </c>
      <c r="G119" s="4">
        <v>43017</v>
      </c>
      <c r="H119" s="10"/>
    </row>
    <row r="120" spans="1:8" x14ac:dyDescent="0.2">
      <c r="A120" s="3" t="s">
        <v>11</v>
      </c>
      <c r="B120" s="10" t="s">
        <v>32</v>
      </c>
      <c r="C120" s="10" t="s">
        <v>92</v>
      </c>
      <c r="D120" s="2" t="s">
        <v>122</v>
      </c>
      <c r="E120" s="3" t="s">
        <v>173</v>
      </c>
      <c r="F120" s="4">
        <v>42951</v>
      </c>
      <c r="G120" s="4">
        <v>43017</v>
      </c>
      <c r="H120" s="10"/>
    </row>
    <row r="121" spans="1:8" x14ac:dyDescent="0.2">
      <c r="A121" s="3" t="s">
        <v>11</v>
      </c>
      <c r="B121" s="10" t="s">
        <v>33</v>
      </c>
      <c r="C121" s="10" t="s">
        <v>92</v>
      </c>
      <c r="D121" s="2" t="s">
        <v>123</v>
      </c>
      <c r="E121" s="3" t="s">
        <v>173</v>
      </c>
      <c r="F121" s="4">
        <v>42951</v>
      </c>
      <c r="G121" s="4">
        <v>43017</v>
      </c>
      <c r="H121" s="10"/>
    </row>
    <row r="122" spans="1:8" ht="25.5" x14ac:dyDescent="0.2">
      <c r="A122" s="3" t="s">
        <v>10</v>
      </c>
      <c r="B122" s="9" t="str">
        <f>T("ENFIT SYRINGE KIT")</f>
        <v>ENFIT SYRINGE KIT</v>
      </c>
      <c r="C122" s="9" t="str">
        <f>T("MEDLINE INDUSTRIES INC")</f>
        <v>MEDLINE INDUSTRIES INC</v>
      </c>
      <c r="D122" s="1" t="str">
        <f>T("ENFIT7061")</f>
        <v>ENFIT7061</v>
      </c>
      <c r="E122" s="1" t="str">
        <f>T("B4034 OR B4035 OR B4036 OR A4322")</f>
        <v>B4034 OR B4035 OR B4036 OR A4322</v>
      </c>
      <c r="F122" s="1" t="str">
        <f>T("10/03/2017")</f>
        <v>10/03/2017</v>
      </c>
      <c r="G122" s="1" t="str">
        <f>T("")</f>
        <v/>
      </c>
      <c r="H122" s="9" t="str">
        <f>T("THIS IS ONE COMPONENT OF A SUPPLY KIT. REFER TO DME MAC ENTERAL NUTRITION POLICY ARTICLE FOR INFORMATION ON OTHER ITEMS THAT ARE INCLUDED IN CODES B4034-B4036. USE A4322 FOR ALL OTHER USES")</f>
        <v>THIS IS ONE COMPONENT OF A SUPPLY KIT. REFER TO DME MAC ENTERAL NUTRITION POLICY ARTICLE FOR INFORMATION ON OTHER ITEMS THAT ARE INCLUDED IN CODES B4034-B4036. USE A4322 FOR ALL OTHER USES</v>
      </c>
    </row>
    <row r="123" spans="1:8" x14ac:dyDescent="0.2">
      <c r="A123" s="3" t="s">
        <v>10</v>
      </c>
      <c r="B123" s="9" t="str">
        <f>T("ORGAIN KIDS PROTEIN ORGANIC NUTRITIONAL SHAKE - VANILLA")</f>
        <v>ORGAIN KIDS PROTEIN ORGANIC NUTRITIONAL SHAKE - VANILLA</v>
      </c>
      <c r="C123" s="9" t="str">
        <f>T("ORGAIN INC")</f>
        <v>ORGAIN INC</v>
      </c>
      <c r="D123" s="1" t="str">
        <f>T("851770003018")</f>
        <v>851770003018</v>
      </c>
      <c r="E123" s="1" t="str">
        <f>T("B4160")</f>
        <v>B4160</v>
      </c>
      <c r="F123" s="1" t="str">
        <f>T("10/03/2017")</f>
        <v>10/03/2017</v>
      </c>
      <c r="G123" s="1" t="str">
        <f>T("")</f>
        <v/>
      </c>
      <c r="H123" s="9" t="str">
        <f>T("")</f>
        <v/>
      </c>
    </row>
    <row r="124" spans="1:8" ht="14.25" customHeight="1" x14ac:dyDescent="0.2">
      <c r="A124" s="3" t="s">
        <v>10</v>
      </c>
      <c r="B124" s="9" t="str">
        <f>T("ORGAIN KIDS PROTEIN ORGANIC NUTRITIONAL SHAKE - CHOCOLATE")</f>
        <v>ORGAIN KIDS PROTEIN ORGANIC NUTRITIONAL SHAKE - CHOCOLATE</v>
      </c>
      <c r="C124" s="9" t="str">
        <f>T("ORGAIN INC")</f>
        <v>ORGAIN INC</v>
      </c>
      <c r="D124" s="1" t="str">
        <f>T("851770003001")</f>
        <v>851770003001</v>
      </c>
      <c r="E124" s="1" t="str">
        <f>T("B4160")</f>
        <v>B4160</v>
      </c>
      <c r="F124" s="1" t="str">
        <f>T("10/03/2017")</f>
        <v>10/03/2017</v>
      </c>
      <c r="G124" s="1" t="str">
        <f>T("")</f>
        <v/>
      </c>
      <c r="H124" s="9" t="str">
        <f>T("")</f>
        <v/>
      </c>
    </row>
    <row r="125" spans="1:8" ht="14.25" customHeight="1" x14ac:dyDescent="0.2">
      <c r="A125" s="3" t="s">
        <v>10</v>
      </c>
      <c r="B125" s="9" t="str">
        <f>T("ORGAIN KIDS PROTEIN ORGANIC NUTRITIONAL SHAKE - STRAWBERRY")</f>
        <v>ORGAIN KIDS PROTEIN ORGANIC NUTRITIONAL SHAKE - STRAWBERRY</v>
      </c>
      <c r="C125" s="9" t="str">
        <f>T("ORGAIN INC")</f>
        <v>ORGAIN INC</v>
      </c>
      <c r="D125" s="1" t="str">
        <f>T("851770003131")</f>
        <v>851770003131</v>
      </c>
      <c r="E125" s="1" t="str">
        <f>T("B4160")</f>
        <v>B4160</v>
      </c>
      <c r="F125" s="1" t="str">
        <f>T("10/03/2017")</f>
        <v>10/03/2017</v>
      </c>
      <c r="G125" s="1" t="str">
        <f>T("")</f>
        <v/>
      </c>
      <c r="H125" s="9" t="str">
        <f>T("")</f>
        <v/>
      </c>
    </row>
    <row r="126" spans="1:8" ht="27" customHeight="1" x14ac:dyDescent="0.2">
      <c r="A126" s="3" t="s">
        <v>11</v>
      </c>
      <c r="B126" s="10" t="s">
        <v>83</v>
      </c>
      <c r="C126" s="10" t="s">
        <v>98</v>
      </c>
      <c r="D126" s="3"/>
      <c r="E126" s="3" t="s">
        <v>188</v>
      </c>
      <c r="F126" s="4">
        <v>42674</v>
      </c>
      <c r="G126" s="4">
        <v>43034</v>
      </c>
      <c r="H126" s="9" t="s">
        <v>196</v>
      </c>
    </row>
    <row r="127" spans="1:8" ht="27" customHeight="1" x14ac:dyDescent="0.2">
      <c r="A127" s="3" t="s">
        <v>10</v>
      </c>
      <c r="B127" s="9" t="str">
        <f>T("PEPTAMEN JUNIOR HP")</f>
        <v>PEPTAMEN JUNIOR HP</v>
      </c>
      <c r="C127" s="9" t="str">
        <f>T("NESTLE HEALTHCARE NUTRITION INC")</f>
        <v>NESTLE HEALTHCARE NUTRITION INC</v>
      </c>
      <c r="D127" s="1" t="str">
        <f>T("")</f>
        <v/>
      </c>
      <c r="E127" s="1" t="str">
        <f>T("B4161")</f>
        <v>B4161</v>
      </c>
      <c r="F127" s="1" t="str">
        <f>T("10/27/2017")</f>
        <v>10/27/2017</v>
      </c>
      <c r="G127" s="1" t="str">
        <f>T("")</f>
        <v/>
      </c>
      <c r="H127" s="9" t="str">
        <f>T("ADD THE BO MODIFIER TO THE HCPCS CODE IF THE ENTERAL NUTRITION IS BEING ADMINISTERED ORALLY AND IS NOT BEING ADMINISTERED BY A FEEDING TUBE.")</f>
        <v>ADD THE BO MODIFIER TO THE HCPCS CODE IF THE ENTERAL NUTRITION IS BEING ADMINISTERED ORALLY AND IS NOT BEING ADMINISTERED BY A FEEDING TUBE.</v>
      </c>
    </row>
    <row r="128" spans="1:8" x14ac:dyDescent="0.2">
      <c r="A128" s="3" t="s">
        <v>11</v>
      </c>
      <c r="B128" s="10" t="s">
        <v>24</v>
      </c>
      <c r="C128" s="10" t="s">
        <v>89</v>
      </c>
      <c r="D128" s="3" t="s">
        <v>114</v>
      </c>
      <c r="E128" s="3" t="s">
        <v>169</v>
      </c>
      <c r="F128" s="4">
        <v>41221</v>
      </c>
      <c r="G128" s="4">
        <v>42916</v>
      </c>
      <c r="H128" s="9" t="s">
        <v>192</v>
      </c>
    </row>
    <row r="129" spans="1:8" x14ac:dyDescent="0.2">
      <c r="A129" s="3" t="s">
        <v>10</v>
      </c>
      <c r="B129" s="9" t="str">
        <f>T("FLEXITOUCH PLUS ADVANCED PNEUMATIC COMPRESSION SYSTEM")</f>
        <v>FLEXITOUCH PLUS ADVANCED PNEUMATIC COMPRESSION SYSTEM</v>
      </c>
      <c r="C129" s="9" t="str">
        <f>T("TACTILE SYSTEMS TECHNOLOGY INC")</f>
        <v>TACTILE SYSTEMS TECHNOLOGY INC</v>
      </c>
      <c r="D129" s="1" t="str">
        <f>T("PD32-G3")</f>
        <v>PD32-G3</v>
      </c>
      <c r="E129" s="1" t="str">
        <f>T("E0651")</f>
        <v>E0651</v>
      </c>
      <c r="F129" s="1" t="str">
        <f>T("10/13/2017")</f>
        <v>10/13/2017</v>
      </c>
      <c r="G129" s="1" t="str">
        <f>T("")</f>
        <v/>
      </c>
      <c r="H129" s="9" t="str">
        <f>T("")</f>
        <v/>
      </c>
    </row>
    <row r="130" spans="1:8" x14ac:dyDescent="0.2">
      <c r="A130" s="3" t="s">
        <v>11</v>
      </c>
      <c r="B130" s="10" t="s">
        <v>50</v>
      </c>
      <c r="C130" s="10" t="s">
        <v>96</v>
      </c>
      <c r="D130" s="3" t="s">
        <v>127</v>
      </c>
      <c r="E130" s="3" t="s">
        <v>182</v>
      </c>
      <c r="F130" s="4">
        <v>43021</v>
      </c>
      <c r="G130" s="4">
        <v>43021</v>
      </c>
      <c r="H130" s="10"/>
    </row>
    <row r="131" spans="1:8" x14ac:dyDescent="0.2">
      <c r="A131" s="3" t="s">
        <v>10</v>
      </c>
      <c r="B131" s="9" t="str">
        <f>T("SEQUENTIAL CIRCULATOR SC-2004FC-OC")</f>
        <v>SEQUENTIAL CIRCULATOR SC-2004FC-OC</v>
      </c>
      <c r="C131" s="9" t="str">
        <f>T("BIO COMPRESSION SYSTEMS INC")</f>
        <v>BIO COMPRESSION SYSTEMS INC</v>
      </c>
      <c r="D131" s="1" t="str">
        <f>T("SC-2004FC-OC")</f>
        <v>SC-2004FC-OC</v>
      </c>
      <c r="E131" s="1" t="str">
        <f>T("E0651")</f>
        <v>E0651</v>
      </c>
      <c r="F131" s="1" t="str">
        <f>T("10/24/2017")</f>
        <v>10/24/2017</v>
      </c>
      <c r="G131" s="1" t="str">
        <f t="shared" ref="G131:H136" si="18">T("")</f>
        <v/>
      </c>
      <c r="H131" s="9" t="str">
        <f t="shared" si="18"/>
        <v/>
      </c>
    </row>
    <row r="132" spans="1:8" x14ac:dyDescent="0.2">
      <c r="A132" s="3" t="s">
        <v>10</v>
      </c>
      <c r="B132" s="9" t="str">
        <f>T("FLEXITOUCH PLUS SMALL TRUNK")</f>
        <v>FLEXITOUCH PLUS SMALL TRUNK</v>
      </c>
      <c r="C132" s="9" t="str">
        <f>T("TACTILE SYSTEMS TECHNOLOGY INC")</f>
        <v>TACTILE SYSTEMS TECHNOLOGY INC</v>
      </c>
      <c r="D132" s="1" t="str">
        <f>T("3A-TR-SM-A")</f>
        <v>3A-TR-SM-A</v>
      </c>
      <c r="E132" s="1" t="str">
        <f>T("E0656")</f>
        <v>E0656</v>
      </c>
      <c r="F132" s="1" t="str">
        <f>T("10/13/2017")</f>
        <v>10/13/2017</v>
      </c>
      <c r="G132" s="1" t="str">
        <f t="shared" si="18"/>
        <v/>
      </c>
      <c r="H132" s="9" t="str">
        <f t="shared" si="18"/>
        <v/>
      </c>
    </row>
    <row r="133" spans="1:8" x14ac:dyDescent="0.2">
      <c r="A133" s="3" t="s">
        <v>10</v>
      </c>
      <c r="B133" s="9" t="str">
        <f>T("FLEXITOUCH PLUS MEDIUM TRUNK")</f>
        <v>FLEXITOUCH PLUS MEDIUM TRUNK</v>
      </c>
      <c r="C133" s="9" t="str">
        <f>T("TACTILE SYSTEMS TECHNOLOGY INC")</f>
        <v>TACTILE SYSTEMS TECHNOLOGY INC</v>
      </c>
      <c r="D133" s="1" t="str">
        <f>T("3A-TR-MD-A")</f>
        <v>3A-TR-MD-A</v>
      </c>
      <c r="E133" s="1" t="str">
        <f>T("E0656")</f>
        <v>E0656</v>
      </c>
      <c r="F133" s="1" t="str">
        <f>T("10/13/2017")</f>
        <v>10/13/2017</v>
      </c>
      <c r="G133" s="1" t="str">
        <f t="shared" si="18"/>
        <v/>
      </c>
      <c r="H133" s="9" t="str">
        <f t="shared" si="18"/>
        <v/>
      </c>
    </row>
    <row r="134" spans="1:8" x14ac:dyDescent="0.2">
      <c r="A134" s="3" t="s">
        <v>10</v>
      </c>
      <c r="B134" s="9" t="str">
        <f>T("FLEXITOUCH PLUS LARGE TRUNK")</f>
        <v>FLEXITOUCH PLUS LARGE TRUNK</v>
      </c>
      <c r="C134" s="9" t="str">
        <f>T("TACTILE SYSTEMS TECHNOLOGY INC")</f>
        <v>TACTILE SYSTEMS TECHNOLOGY INC</v>
      </c>
      <c r="D134" s="1" t="str">
        <f>T("3A-TR-LG-A")</f>
        <v>3A-TR-LG-A</v>
      </c>
      <c r="E134" s="1" t="str">
        <f>T("E0656")</f>
        <v>E0656</v>
      </c>
      <c r="F134" s="1" t="str">
        <f>T("10/13/2017")</f>
        <v>10/13/2017</v>
      </c>
      <c r="G134" s="1" t="str">
        <f t="shared" si="18"/>
        <v/>
      </c>
      <c r="H134" s="9" t="str">
        <f t="shared" si="18"/>
        <v/>
      </c>
    </row>
    <row r="135" spans="1:8" x14ac:dyDescent="0.2">
      <c r="A135" s="3" t="s">
        <v>10</v>
      </c>
      <c r="B135" s="9" t="str">
        <f>T("FLEXITOUCH PLUS EXT TRUNK - THIGH LEFT")</f>
        <v>FLEXITOUCH PLUS EXT TRUNK - THIGH LEFT</v>
      </c>
      <c r="C135" s="9" t="str">
        <f>T("TACTILE SYSTEMS TECHNOLOGY INC")</f>
        <v>TACTILE SYSTEMS TECHNOLOGY INC</v>
      </c>
      <c r="D135" s="1" t="str">
        <f>T("3L-TR-XT-L")</f>
        <v>3L-TR-XT-L</v>
      </c>
      <c r="E135" s="1" t="str">
        <f>T("E0656")</f>
        <v>E0656</v>
      </c>
      <c r="F135" s="1" t="str">
        <f>T("10/13/2017")</f>
        <v>10/13/2017</v>
      </c>
      <c r="G135" s="1" t="str">
        <f t="shared" si="18"/>
        <v/>
      </c>
      <c r="H135" s="9" t="str">
        <f t="shared" si="18"/>
        <v/>
      </c>
    </row>
    <row r="136" spans="1:8" x14ac:dyDescent="0.2">
      <c r="A136" s="3" t="s">
        <v>10</v>
      </c>
      <c r="B136" s="9" t="str">
        <f>T("FLEXITOUCH PLUS EXT TRUNK - THIGH RIGHT")</f>
        <v>FLEXITOUCH PLUS EXT TRUNK - THIGH RIGHT</v>
      </c>
      <c r="C136" s="9" t="str">
        <f>T("TACTILE SYSTEMS TECHNOLOGY INC")</f>
        <v>TACTILE SYSTEMS TECHNOLOGY INC</v>
      </c>
      <c r="D136" s="1" t="str">
        <f>T("3L-TR-XT-R")</f>
        <v>3L-TR-XT-R</v>
      </c>
      <c r="E136" s="1" t="str">
        <f>T("E0656")</f>
        <v>E0656</v>
      </c>
      <c r="F136" s="1" t="str">
        <f>T("10/13/2017")</f>
        <v>10/13/2017</v>
      </c>
      <c r="G136" s="1" t="str">
        <f t="shared" si="18"/>
        <v/>
      </c>
      <c r="H136" s="9" t="str">
        <f t="shared" si="18"/>
        <v/>
      </c>
    </row>
    <row r="137" spans="1:8" x14ac:dyDescent="0.2">
      <c r="A137" s="3" t="s">
        <v>11</v>
      </c>
      <c r="B137" s="10" t="s">
        <v>53</v>
      </c>
      <c r="C137" s="10" t="s">
        <v>96</v>
      </c>
      <c r="D137" s="3" t="s">
        <v>130</v>
      </c>
      <c r="E137" s="3" t="s">
        <v>184</v>
      </c>
      <c r="F137" s="4">
        <v>43021</v>
      </c>
      <c r="G137" s="4">
        <v>43021</v>
      </c>
      <c r="H137" s="10"/>
    </row>
    <row r="138" spans="1:8" x14ac:dyDescent="0.2">
      <c r="A138" s="3" t="s">
        <v>11</v>
      </c>
      <c r="B138" s="10" t="s">
        <v>54</v>
      </c>
      <c r="C138" s="10" t="s">
        <v>96</v>
      </c>
      <c r="D138" s="3" t="s">
        <v>131</v>
      </c>
      <c r="E138" s="3" t="s">
        <v>184</v>
      </c>
      <c r="F138" s="4">
        <v>43021</v>
      </c>
      <c r="G138" s="4">
        <v>43021</v>
      </c>
      <c r="H138" s="10"/>
    </row>
    <row r="139" spans="1:8" x14ac:dyDescent="0.2">
      <c r="A139" s="3" t="s">
        <v>11</v>
      </c>
      <c r="B139" s="10" t="s">
        <v>55</v>
      </c>
      <c r="C139" s="10" t="s">
        <v>96</v>
      </c>
      <c r="D139" s="3" t="s">
        <v>132</v>
      </c>
      <c r="E139" s="3" t="s">
        <v>184</v>
      </c>
      <c r="F139" s="4">
        <v>43021</v>
      </c>
      <c r="G139" s="4">
        <v>43021</v>
      </c>
      <c r="H139" s="10"/>
    </row>
    <row r="140" spans="1:8" x14ac:dyDescent="0.2">
      <c r="A140" s="3" t="s">
        <v>11</v>
      </c>
      <c r="B140" s="10" t="s">
        <v>68</v>
      </c>
      <c r="C140" s="10" t="s">
        <v>96</v>
      </c>
      <c r="D140" s="3" t="s">
        <v>145</v>
      </c>
      <c r="E140" s="3" t="s">
        <v>184</v>
      </c>
      <c r="F140" s="4">
        <v>43021</v>
      </c>
      <c r="G140" s="4">
        <v>43021</v>
      </c>
      <c r="H140" s="10"/>
    </row>
    <row r="141" spans="1:8" x14ac:dyDescent="0.2">
      <c r="A141" s="3" t="s">
        <v>11</v>
      </c>
      <c r="B141" s="10" t="s">
        <v>81</v>
      </c>
      <c r="C141" s="10" t="s">
        <v>96</v>
      </c>
      <c r="D141" s="3" t="s">
        <v>158</v>
      </c>
      <c r="E141" s="3" t="s">
        <v>184</v>
      </c>
      <c r="F141" s="4">
        <v>43021</v>
      </c>
      <c r="G141" s="4">
        <v>43021</v>
      </c>
      <c r="H141" s="10"/>
    </row>
    <row r="142" spans="1:8" x14ac:dyDescent="0.2">
      <c r="A142" s="3" t="s">
        <v>10</v>
      </c>
      <c r="B142" s="9" t="str">
        <f>T("FLEXITOUCH PLUS SHORT LEFT FULL LEG GARMENT")</f>
        <v>FLEXITOUCH PLUS SHORT LEFT FULL LEG GARMENT</v>
      </c>
      <c r="C142" s="9" t="str">
        <f t="shared" ref="C142:C147" si="19">T("TACTILE SYSTEMS TECHNOLOGY INC")</f>
        <v>TACTILE SYSTEMS TECHNOLOGY INC</v>
      </c>
      <c r="D142" s="1" t="str">
        <f>T("3L-FL-SH-L")</f>
        <v>3L-FL-SH-L</v>
      </c>
      <c r="E142" s="1" t="str">
        <f t="shared" ref="E142:E147" si="20">T("E0667")</f>
        <v>E0667</v>
      </c>
      <c r="F142" s="1" t="str">
        <f t="shared" ref="F142:F147" si="21">T("10/13/2017")</f>
        <v>10/13/2017</v>
      </c>
      <c r="G142" s="1" t="str">
        <f t="shared" ref="G142:H147" si="22">T("")</f>
        <v/>
      </c>
      <c r="H142" s="9" t="str">
        <f t="shared" si="22"/>
        <v/>
      </c>
    </row>
    <row r="143" spans="1:8" x14ac:dyDescent="0.2">
      <c r="A143" s="3" t="s">
        <v>10</v>
      </c>
      <c r="B143" s="9" t="str">
        <f>T("FLEXITOUCH PLUS SHORT RIGHT FULL LEG GARMENT")</f>
        <v>FLEXITOUCH PLUS SHORT RIGHT FULL LEG GARMENT</v>
      </c>
      <c r="C143" s="9" t="str">
        <f t="shared" si="19"/>
        <v>TACTILE SYSTEMS TECHNOLOGY INC</v>
      </c>
      <c r="D143" s="1" t="str">
        <f>T("3L-FL-SH-R")</f>
        <v>3L-FL-SH-R</v>
      </c>
      <c r="E143" s="1" t="str">
        <f t="shared" si="20"/>
        <v>E0667</v>
      </c>
      <c r="F143" s="1" t="str">
        <f t="shared" si="21"/>
        <v>10/13/2017</v>
      </c>
      <c r="G143" s="1" t="str">
        <f t="shared" si="22"/>
        <v/>
      </c>
      <c r="H143" s="9" t="str">
        <f t="shared" si="22"/>
        <v/>
      </c>
    </row>
    <row r="144" spans="1:8" x14ac:dyDescent="0.2">
      <c r="A144" s="3" t="s">
        <v>10</v>
      </c>
      <c r="B144" s="9" t="str">
        <f>T("FLEXITOUCH PLUS MEDIUM LEFT FULL LEG GARMENT")</f>
        <v>FLEXITOUCH PLUS MEDIUM LEFT FULL LEG GARMENT</v>
      </c>
      <c r="C144" s="9" t="str">
        <f t="shared" si="19"/>
        <v>TACTILE SYSTEMS TECHNOLOGY INC</v>
      </c>
      <c r="D144" s="1" t="str">
        <f>T("3L-FL-MD-L")</f>
        <v>3L-FL-MD-L</v>
      </c>
      <c r="E144" s="1" t="str">
        <f t="shared" si="20"/>
        <v>E0667</v>
      </c>
      <c r="F144" s="1" t="str">
        <f t="shared" si="21"/>
        <v>10/13/2017</v>
      </c>
      <c r="G144" s="1" t="str">
        <f t="shared" si="22"/>
        <v/>
      </c>
      <c r="H144" s="9" t="str">
        <f t="shared" si="22"/>
        <v/>
      </c>
    </row>
    <row r="145" spans="1:8" x14ac:dyDescent="0.2">
      <c r="A145" s="3" t="s">
        <v>10</v>
      </c>
      <c r="B145" s="9" t="str">
        <f>T("FLEXITOUCH PLUS MEDIUM RIGHT FULL LEG GARMENT")</f>
        <v>FLEXITOUCH PLUS MEDIUM RIGHT FULL LEG GARMENT</v>
      </c>
      <c r="C145" s="9" t="str">
        <f t="shared" si="19"/>
        <v>TACTILE SYSTEMS TECHNOLOGY INC</v>
      </c>
      <c r="D145" s="1" t="str">
        <f>T("3L-FL-MD-R")</f>
        <v>3L-FL-MD-R</v>
      </c>
      <c r="E145" s="1" t="str">
        <f t="shared" si="20"/>
        <v>E0667</v>
      </c>
      <c r="F145" s="1" t="str">
        <f t="shared" si="21"/>
        <v>10/13/2017</v>
      </c>
      <c r="G145" s="1" t="str">
        <f t="shared" si="22"/>
        <v/>
      </c>
      <c r="H145" s="9" t="str">
        <f t="shared" si="22"/>
        <v/>
      </c>
    </row>
    <row r="146" spans="1:8" x14ac:dyDescent="0.2">
      <c r="A146" s="3" t="s">
        <v>10</v>
      </c>
      <c r="B146" s="9" t="str">
        <f>T("FLEXITOUCH PLUS LONG LEFT FULL LEG GARMENT")</f>
        <v>FLEXITOUCH PLUS LONG LEFT FULL LEG GARMENT</v>
      </c>
      <c r="C146" s="9" t="str">
        <f t="shared" si="19"/>
        <v>TACTILE SYSTEMS TECHNOLOGY INC</v>
      </c>
      <c r="D146" s="1" t="str">
        <f>T("3L-FL-LO-L")</f>
        <v>3L-FL-LO-L</v>
      </c>
      <c r="E146" s="1" t="str">
        <f t="shared" si="20"/>
        <v>E0667</v>
      </c>
      <c r="F146" s="1" t="str">
        <f t="shared" si="21"/>
        <v>10/13/2017</v>
      </c>
      <c r="G146" s="1" t="str">
        <f t="shared" si="22"/>
        <v/>
      </c>
      <c r="H146" s="9" t="str">
        <f t="shared" si="22"/>
        <v/>
      </c>
    </row>
    <row r="147" spans="1:8" x14ac:dyDescent="0.2">
      <c r="A147" s="3" t="s">
        <v>10</v>
      </c>
      <c r="B147" s="9" t="str">
        <f>T("FLEXITOUCH PLUS LONG RIGHT FULL LEG GARMENT")</f>
        <v>FLEXITOUCH PLUS LONG RIGHT FULL LEG GARMENT</v>
      </c>
      <c r="C147" s="9" t="str">
        <f t="shared" si="19"/>
        <v>TACTILE SYSTEMS TECHNOLOGY INC</v>
      </c>
      <c r="D147" s="1" t="str">
        <f>T("3L-FL-LO-R")</f>
        <v>3L-FL-LO-R</v>
      </c>
      <c r="E147" s="1" t="str">
        <f t="shared" si="20"/>
        <v>E0667</v>
      </c>
      <c r="F147" s="1" t="str">
        <f t="shared" si="21"/>
        <v>10/13/2017</v>
      </c>
      <c r="G147" s="1" t="str">
        <f t="shared" si="22"/>
        <v/>
      </c>
      <c r="H147" s="9" t="str">
        <f t="shared" si="22"/>
        <v/>
      </c>
    </row>
    <row r="148" spans="1:8" x14ac:dyDescent="0.2">
      <c r="A148" s="3" t="s">
        <v>11</v>
      </c>
      <c r="B148" s="10" t="s">
        <v>60</v>
      </c>
      <c r="C148" s="10" t="s">
        <v>96</v>
      </c>
      <c r="D148" s="3" t="s">
        <v>137</v>
      </c>
      <c r="E148" s="3" t="s">
        <v>186</v>
      </c>
      <c r="F148" s="4">
        <v>43021</v>
      </c>
      <c r="G148" s="4">
        <v>43021</v>
      </c>
      <c r="H148" s="10"/>
    </row>
    <row r="149" spans="1:8" x14ac:dyDescent="0.2">
      <c r="A149" s="3" t="s">
        <v>11</v>
      </c>
      <c r="B149" s="10" t="s">
        <v>65</v>
      </c>
      <c r="C149" s="10" t="s">
        <v>96</v>
      </c>
      <c r="D149" s="3" t="s">
        <v>142</v>
      </c>
      <c r="E149" s="3" t="s">
        <v>186</v>
      </c>
      <c r="F149" s="4">
        <v>43021</v>
      </c>
      <c r="G149" s="4">
        <v>43021</v>
      </c>
      <c r="H149" s="10"/>
    </row>
    <row r="150" spans="1:8" x14ac:dyDescent="0.2">
      <c r="A150" s="3" t="s">
        <v>11</v>
      </c>
      <c r="B150" s="10" t="s">
        <v>66</v>
      </c>
      <c r="C150" s="10" t="s">
        <v>96</v>
      </c>
      <c r="D150" s="3" t="s">
        <v>143</v>
      </c>
      <c r="E150" s="3" t="s">
        <v>186</v>
      </c>
      <c r="F150" s="4">
        <v>43021</v>
      </c>
      <c r="G150" s="4">
        <v>43021</v>
      </c>
      <c r="H150" s="10"/>
    </row>
    <row r="151" spans="1:8" x14ac:dyDescent="0.2">
      <c r="A151" s="3" t="s">
        <v>11</v>
      </c>
      <c r="B151" s="10" t="s">
        <v>67</v>
      </c>
      <c r="C151" s="10" t="s">
        <v>96</v>
      </c>
      <c r="D151" s="3" t="s">
        <v>144</v>
      </c>
      <c r="E151" s="3" t="s">
        <v>186</v>
      </c>
      <c r="F151" s="4">
        <v>43021</v>
      </c>
      <c r="G151" s="4">
        <v>43021</v>
      </c>
      <c r="H151" s="10"/>
    </row>
    <row r="152" spans="1:8" x14ac:dyDescent="0.2">
      <c r="A152" s="3" t="s">
        <v>11</v>
      </c>
      <c r="B152" s="10" t="s">
        <v>75</v>
      </c>
      <c r="C152" s="10" t="s">
        <v>96</v>
      </c>
      <c r="D152" s="3" t="s">
        <v>152</v>
      </c>
      <c r="E152" s="3" t="s">
        <v>186</v>
      </c>
      <c r="F152" s="4">
        <v>43021</v>
      </c>
      <c r="G152" s="4">
        <v>43021</v>
      </c>
      <c r="H152" s="10"/>
    </row>
    <row r="153" spans="1:8" x14ac:dyDescent="0.2">
      <c r="A153" s="3" t="s">
        <v>11</v>
      </c>
      <c r="B153" s="10" t="s">
        <v>80</v>
      </c>
      <c r="C153" s="10" t="s">
        <v>96</v>
      </c>
      <c r="D153" s="3" t="s">
        <v>157</v>
      </c>
      <c r="E153" s="3" t="s">
        <v>186</v>
      </c>
      <c r="F153" s="4">
        <v>43021</v>
      </c>
      <c r="G153" s="4">
        <v>43021</v>
      </c>
      <c r="H153" s="10"/>
    </row>
    <row r="154" spans="1:8" x14ac:dyDescent="0.2">
      <c r="A154" s="3" t="s">
        <v>10</v>
      </c>
      <c r="B154" s="9" t="str">
        <f>T("FLEXITOUCH PLUS SHORT LEFT ARM-SHOULDER GARMENT SIZE 1")</f>
        <v>FLEXITOUCH PLUS SHORT LEFT ARM-SHOULDER GARMENT SIZE 1</v>
      </c>
      <c r="C154" s="9" t="str">
        <f t="shared" ref="C154:C169" si="23">T("TACTILE SYSTEMS TECHNOLOGY INC")</f>
        <v>TACTILE SYSTEMS TECHNOLOGY INC</v>
      </c>
      <c r="D154" s="1" t="str">
        <f>T("3U-AS-S1-L")</f>
        <v>3U-AS-S1-L</v>
      </c>
      <c r="E154" s="1" t="str">
        <f t="shared" ref="E154:E169" si="24">T("E0668")</f>
        <v>E0668</v>
      </c>
      <c r="F154" s="1" t="str">
        <f t="shared" ref="F154:F169" si="25">T("10/13/2017")</f>
        <v>10/13/2017</v>
      </c>
      <c r="G154" s="1" t="str">
        <f t="shared" ref="G154:H169" si="26">T("")</f>
        <v/>
      </c>
      <c r="H154" s="9" t="str">
        <f t="shared" si="26"/>
        <v/>
      </c>
    </row>
    <row r="155" spans="1:8" x14ac:dyDescent="0.2">
      <c r="A155" s="3" t="s">
        <v>10</v>
      </c>
      <c r="B155" s="9" t="str">
        <f>T("FLEXITOUCH PLUS SHORT RIGHT ARM-SHOULDER GARMENT SIZE 1")</f>
        <v>FLEXITOUCH PLUS SHORT RIGHT ARM-SHOULDER GARMENT SIZE 1</v>
      </c>
      <c r="C155" s="9" t="str">
        <f t="shared" si="23"/>
        <v>TACTILE SYSTEMS TECHNOLOGY INC</v>
      </c>
      <c r="D155" s="1" t="str">
        <f>T("3U-AS-S1-R")</f>
        <v>3U-AS-S1-R</v>
      </c>
      <c r="E155" s="1" t="str">
        <f t="shared" si="24"/>
        <v>E0668</v>
      </c>
      <c r="F155" s="1" t="str">
        <f t="shared" si="25"/>
        <v>10/13/2017</v>
      </c>
      <c r="G155" s="1" t="str">
        <f t="shared" si="26"/>
        <v/>
      </c>
      <c r="H155" s="9" t="str">
        <f t="shared" si="26"/>
        <v/>
      </c>
    </row>
    <row r="156" spans="1:8" x14ac:dyDescent="0.2">
      <c r="A156" s="3" t="s">
        <v>10</v>
      </c>
      <c r="B156" s="9" t="str">
        <f>T("FLEXITOUCH PLUS LONG LEFT ARM-SHOULDER GARMENT SIZE 1")</f>
        <v>FLEXITOUCH PLUS LONG LEFT ARM-SHOULDER GARMENT SIZE 1</v>
      </c>
      <c r="C156" s="9" t="str">
        <f t="shared" si="23"/>
        <v>TACTILE SYSTEMS TECHNOLOGY INC</v>
      </c>
      <c r="D156" s="1" t="str">
        <f>T("3U-AS-L1-L")</f>
        <v>3U-AS-L1-L</v>
      </c>
      <c r="E156" s="1" t="str">
        <f t="shared" si="24"/>
        <v>E0668</v>
      </c>
      <c r="F156" s="1" t="str">
        <f t="shared" si="25"/>
        <v>10/13/2017</v>
      </c>
      <c r="G156" s="1" t="str">
        <f t="shared" si="26"/>
        <v/>
      </c>
      <c r="H156" s="9" t="str">
        <f t="shared" si="26"/>
        <v/>
      </c>
    </row>
    <row r="157" spans="1:8" x14ac:dyDescent="0.2">
      <c r="A157" s="3" t="s">
        <v>10</v>
      </c>
      <c r="B157" s="9" t="str">
        <f>T("FLEXITOUCH PLUS LONG RIGHT ARM-SHOULDER GARMENT SIZE 1")</f>
        <v>FLEXITOUCH PLUS LONG RIGHT ARM-SHOULDER GARMENT SIZE 1</v>
      </c>
      <c r="C157" s="9" t="str">
        <f t="shared" si="23"/>
        <v>TACTILE SYSTEMS TECHNOLOGY INC</v>
      </c>
      <c r="D157" s="1" t="str">
        <f>T("3U-AS-L1-R")</f>
        <v>3U-AS-L1-R</v>
      </c>
      <c r="E157" s="1" t="str">
        <f t="shared" si="24"/>
        <v>E0668</v>
      </c>
      <c r="F157" s="1" t="str">
        <f t="shared" si="25"/>
        <v>10/13/2017</v>
      </c>
      <c r="G157" s="1" t="str">
        <f t="shared" si="26"/>
        <v/>
      </c>
      <c r="H157" s="9" t="str">
        <f t="shared" si="26"/>
        <v/>
      </c>
    </row>
    <row r="158" spans="1:8" x14ac:dyDescent="0.2">
      <c r="A158" s="3" t="s">
        <v>10</v>
      </c>
      <c r="B158" s="9" t="str">
        <f>T("FLEXITOUCH PLUS SHORT LEFT ARM-SHOULDER GARMENT SIZE 2")</f>
        <v>FLEXITOUCH PLUS SHORT LEFT ARM-SHOULDER GARMENT SIZE 2</v>
      </c>
      <c r="C158" s="9" t="str">
        <f t="shared" si="23"/>
        <v>TACTILE SYSTEMS TECHNOLOGY INC</v>
      </c>
      <c r="D158" s="1" t="str">
        <f>T("3U-AS-S2-L")</f>
        <v>3U-AS-S2-L</v>
      </c>
      <c r="E158" s="1" t="str">
        <f t="shared" si="24"/>
        <v>E0668</v>
      </c>
      <c r="F158" s="1" t="str">
        <f t="shared" si="25"/>
        <v>10/13/2017</v>
      </c>
      <c r="G158" s="1" t="str">
        <f t="shared" si="26"/>
        <v/>
      </c>
      <c r="H158" s="9" t="str">
        <f t="shared" si="26"/>
        <v/>
      </c>
    </row>
    <row r="159" spans="1:8" x14ac:dyDescent="0.2">
      <c r="A159" s="3" t="s">
        <v>10</v>
      </c>
      <c r="B159" s="9" t="str">
        <f>T("FLEXITOUCH PLUS SHORT RIGHT ARM-SHOULDER GARMENT SIZE 2")</f>
        <v>FLEXITOUCH PLUS SHORT RIGHT ARM-SHOULDER GARMENT SIZE 2</v>
      </c>
      <c r="C159" s="9" t="str">
        <f t="shared" si="23"/>
        <v>TACTILE SYSTEMS TECHNOLOGY INC</v>
      </c>
      <c r="D159" s="1" t="str">
        <f>T("3U-AS-S2-R")</f>
        <v>3U-AS-S2-R</v>
      </c>
      <c r="E159" s="1" t="str">
        <f t="shared" si="24"/>
        <v>E0668</v>
      </c>
      <c r="F159" s="1" t="str">
        <f t="shared" si="25"/>
        <v>10/13/2017</v>
      </c>
      <c r="G159" s="1" t="str">
        <f t="shared" si="26"/>
        <v/>
      </c>
      <c r="H159" s="9" t="str">
        <f t="shared" si="26"/>
        <v/>
      </c>
    </row>
    <row r="160" spans="1:8" x14ac:dyDescent="0.2">
      <c r="A160" s="3" t="s">
        <v>10</v>
      </c>
      <c r="B160" s="9" t="str">
        <f>T("FLEXITOUCH PLUS LONG LEFT ARM-SHOULDER GARMENT SIZE 2")</f>
        <v>FLEXITOUCH PLUS LONG LEFT ARM-SHOULDER GARMENT SIZE 2</v>
      </c>
      <c r="C160" s="9" t="str">
        <f t="shared" si="23"/>
        <v>TACTILE SYSTEMS TECHNOLOGY INC</v>
      </c>
      <c r="D160" s="1" t="str">
        <f>T("3U-AS-L2-L")</f>
        <v>3U-AS-L2-L</v>
      </c>
      <c r="E160" s="1" t="str">
        <f t="shared" si="24"/>
        <v>E0668</v>
      </c>
      <c r="F160" s="1" t="str">
        <f t="shared" si="25"/>
        <v>10/13/2017</v>
      </c>
      <c r="G160" s="1" t="str">
        <f t="shared" si="26"/>
        <v/>
      </c>
      <c r="H160" s="9" t="str">
        <f t="shared" si="26"/>
        <v/>
      </c>
    </row>
    <row r="161" spans="1:8" x14ac:dyDescent="0.2">
      <c r="A161" s="3" t="s">
        <v>10</v>
      </c>
      <c r="B161" s="9" t="str">
        <f>T("FLEXITOUCH PLUS LONG RIGHT ARM-SHOULDER GARMENT SIZE 2")</f>
        <v>FLEXITOUCH PLUS LONG RIGHT ARM-SHOULDER GARMENT SIZE 2</v>
      </c>
      <c r="C161" s="9" t="str">
        <f t="shared" si="23"/>
        <v>TACTILE SYSTEMS TECHNOLOGY INC</v>
      </c>
      <c r="D161" s="1" t="str">
        <f>T("3U-AS-L2-R")</f>
        <v>3U-AS-L2-R</v>
      </c>
      <c r="E161" s="1" t="str">
        <f t="shared" si="24"/>
        <v>E0668</v>
      </c>
      <c r="F161" s="1" t="str">
        <f t="shared" si="25"/>
        <v>10/13/2017</v>
      </c>
      <c r="G161" s="1" t="str">
        <f t="shared" si="26"/>
        <v/>
      </c>
      <c r="H161" s="9" t="str">
        <f t="shared" si="26"/>
        <v/>
      </c>
    </row>
    <row r="162" spans="1:8" x14ac:dyDescent="0.2">
      <c r="A162" s="3" t="s">
        <v>10</v>
      </c>
      <c r="B162" s="9" t="str">
        <f>T("FLEXITOUCH PLUS SHORT LEFT ARM-SHOULDER GARMENT SIZE 3")</f>
        <v>FLEXITOUCH PLUS SHORT LEFT ARM-SHOULDER GARMENT SIZE 3</v>
      </c>
      <c r="C162" s="9" t="str">
        <f t="shared" si="23"/>
        <v>TACTILE SYSTEMS TECHNOLOGY INC</v>
      </c>
      <c r="D162" s="1" t="str">
        <f>T("3U-AS-S3-L")</f>
        <v>3U-AS-S3-L</v>
      </c>
      <c r="E162" s="1" t="str">
        <f t="shared" si="24"/>
        <v>E0668</v>
      </c>
      <c r="F162" s="1" t="str">
        <f t="shared" si="25"/>
        <v>10/13/2017</v>
      </c>
      <c r="G162" s="1" t="str">
        <f t="shared" si="26"/>
        <v/>
      </c>
      <c r="H162" s="9" t="str">
        <f t="shared" si="26"/>
        <v/>
      </c>
    </row>
    <row r="163" spans="1:8" x14ac:dyDescent="0.2">
      <c r="A163" s="3" t="s">
        <v>10</v>
      </c>
      <c r="B163" s="9" t="str">
        <f>T("FLEXITOUCH PLUS SHORT RIGHT ARM-SHOULDER GARMENT SIZE 3")</f>
        <v>FLEXITOUCH PLUS SHORT RIGHT ARM-SHOULDER GARMENT SIZE 3</v>
      </c>
      <c r="C163" s="9" t="str">
        <f t="shared" si="23"/>
        <v>TACTILE SYSTEMS TECHNOLOGY INC</v>
      </c>
      <c r="D163" s="1" t="str">
        <f>T("3U-AS-S3-R")</f>
        <v>3U-AS-S3-R</v>
      </c>
      <c r="E163" s="1" t="str">
        <f t="shared" si="24"/>
        <v>E0668</v>
      </c>
      <c r="F163" s="1" t="str">
        <f t="shared" si="25"/>
        <v>10/13/2017</v>
      </c>
      <c r="G163" s="1" t="str">
        <f t="shared" si="26"/>
        <v/>
      </c>
      <c r="H163" s="9" t="str">
        <f t="shared" si="26"/>
        <v/>
      </c>
    </row>
    <row r="164" spans="1:8" x14ac:dyDescent="0.2">
      <c r="A164" s="3" t="s">
        <v>10</v>
      </c>
      <c r="B164" s="9" t="str">
        <f>T("FLEXITOUCH PLUS LONG LEFT ARM-SHOULDER GARMENT SIZE 3")</f>
        <v>FLEXITOUCH PLUS LONG LEFT ARM-SHOULDER GARMENT SIZE 3</v>
      </c>
      <c r="C164" s="9" t="str">
        <f t="shared" si="23"/>
        <v>TACTILE SYSTEMS TECHNOLOGY INC</v>
      </c>
      <c r="D164" s="1" t="str">
        <f>T("3U-AS-L3-L")</f>
        <v>3U-AS-L3-L</v>
      </c>
      <c r="E164" s="1" t="str">
        <f t="shared" si="24"/>
        <v>E0668</v>
      </c>
      <c r="F164" s="1" t="str">
        <f t="shared" si="25"/>
        <v>10/13/2017</v>
      </c>
      <c r="G164" s="1" t="str">
        <f t="shared" si="26"/>
        <v/>
      </c>
      <c r="H164" s="9" t="str">
        <f t="shared" si="26"/>
        <v/>
      </c>
    </row>
    <row r="165" spans="1:8" x14ac:dyDescent="0.2">
      <c r="A165" s="3" t="s">
        <v>10</v>
      </c>
      <c r="B165" s="9" t="str">
        <f>T("FLEXITOUCH PLUS LONG RIGHT ARM-SHOULDER GARMENT SIZE 3")</f>
        <v>FLEXITOUCH PLUS LONG RIGHT ARM-SHOULDER GARMENT SIZE 3</v>
      </c>
      <c r="C165" s="9" t="str">
        <f t="shared" si="23"/>
        <v>TACTILE SYSTEMS TECHNOLOGY INC</v>
      </c>
      <c r="D165" s="1" t="str">
        <f>T("3U-AS-L3-R")</f>
        <v>3U-AS-L3-R</v>
      </c>
      <c r="E165" s="1" t="str">
        <f t="shared" si="24"/>
        <v>E0668</v>
      </c>
      <c r="F165" s="1" t="str">
        <f t="shared" si="25"/>
        <v>10/13/2017</v>
      </c>
      <c r="G165" s="1" t="str">
        <f t="shared" si="26"/>
        <v/>
      </c>
      <c r="H165" s="9" t="str">
        <f t="shared" si="26"/>
        <v/>
      </c>
    </row>
    <row r="166" spans="1:8" x14ac:dyDescent="0.2">
      <c r="A166" s="3" t="s">
        <v>10</v>
      </c>
      <c r="B166" s="9" t="str">
        <f>T("FLEXITOUCH PLUS SHORT LEFT ARM-SHOULDER GARMENT SIZE 4")</f>
        <v>FLEXITOUCH PLUS SHORT LEFT ARM-SHOULDER GARMENT SIZE 4</v>
      </c>
      <c r="C166" s="9" t="str">
        <f t="shared" si="23"/>
        <v>TACTILE SYSTEMS TECHNOLOGY INC</v>
      </c>
      <c r="D166" s="1" t="str">
        <f>T("3U-AS-S4-L")</f>
        <v>3U-AS-S4-L</v>
      </c>
      <c r="E166" s="1" t="str">
        <f t="shared" si="24"/>
        <v>E0668</v>
      </c>
      <c r="F166" s="1" t="str">
        <f t="shared" si="25"/>
        <v>10/13/2017</v>
      </c>
      <c r="G166" s="1" t="str">
        <f t="shared" si="26"/>
        <v/>
      </c>
      <c r="H166" s="9" t="str">
        <f t="shared" si="26"/>
        <v/>
      </c>
    </row>
    <row r="167" spans="1:8" x14ac:dyDescent="0.2">
      <c r="A167" s="3" t="s">
        <v>10</v>
      </c>
      <c r="B167" s="9" t="str">
        <f>T("FLEXITOUCH PLUS SHORT RIGHT ARM-SHOULDER GARMENT SIZE 4")</f>
        <v>FLEXITOUCH PLUS SHORT RIGHT ARM-SHOULDER GARMENT SIZE 4</v>
      </c>
      <c r="C167" s="9" t="str">
        <f t="shared" si="23"/>
        <v>TACTILE SYSTEMS TECHNOLOGY INC</v>
      </c>
      <c r="D167" s="1" t="str">
        <f>T("3U-AS-S4-R")</f>
        <v>3U-AS-S4-R</v>
      </c>
      <c r="E167" s="1" t="str">
        <f t="shared" si="24"/>
        <v>E0668</v>
      </c>
      <c r="F167" s="1" t="str">
        <f t="shared" si="25"/>
        <v>10/13/2017</v>
      </c>
      <c r="G167" s="1" t="str">
        <f t="shared" si="26"/>
        <v/>
      </c>
      <c r="H167" s="9" t="str">
        <f t="shared" si="26"/>
        <v/>
      </c>
    </row>
    <row r="168" spans="1:8" x14ac:dyDescent="0.2">
      <c r="A168" s="3" t="s">
        <v>10</v>
      </c>
      <c r="B168" s="9" t="str">
        <f>T("FLEXITOUCH PLUS LONG LEFT ARM-SHOULDER GARMENT SIZE 4")</f>
        <v>FLEXITOUCH PLUS LONG LEFT ARM-SHOULDER GARMENT SIZE 4</v>
      </c>
      <c r="C168" s="9" t="str">
        <f t="shared" si="23"/>
        <v>TACTILE SYSTEMS TECHNOLOGY INC</v>
      </c>
      <c r="D168" s="1" t="str">
        <f>T("3U-AS-L4-L")</f>
        <v>3U-AS-L4-L</v>
      </c>
      <c r="E168" s="1" t="str">
        <f t="shared" si="24"/>
        <v>E0668</v>
      </c>
      <c r="F168" s="1" t="str">
        <f t="shared" si="25"/>
        <v>10/13/2017</v>
      </c>
      <c r="G168" s="1" t="str">
        <f t="shared" si="26"/>
        <v/>
      </c>
      <c r="H168" s="9" t="str">
        <f t="shared" si="26"/>
        <v/>
      </c>
    </row>
    <row r="169" spans="1:8" x14ac:dyDescent="0.2">
      <c r="A169" s="3" t="s">
        <v>10</v>
      </c>
      <c r="B169" s="9" t="str">
        <f>T("FLEXITOUCH PLUS LONG RIGHT ARM-SHOULDER GARMENT SIZE 4")</f>
        <v>FLEXITOUCH PLUS LONG RIGHT ARM-SHOULDER GARMENT SIZE 4</v>
      </c>
      <c r="C169" s="9" t="str">
        <f t="shared" si="23"/>
        <v>TACTILE SYSTEMS TECHNOLOGY INC</v>
      </c>
      <c r="D169" s="1" t="str">
        <f>T("3U-AS-L4-R")</f>
        <v>3U-AS-L4-R</v>
      </c>
      <c r="E169" s="1" t="str">
        <f t="shared" si="24"/>
        <v>E0668</v>
      </c>
      <c r="F169" s="1" t="str">
        <f t="shared" si="25"/>
        <v>10/13/2017</v>
      </c>
      <c r="G169" s="1" t="str">
        <f t="shared" si="26"/>
        <v/>
      </c>
      <c r="H169" s="9" t="str">
        <f t="shared" si="26"/>
        <v/>
      </c>
    </row>
    <row r="170" spans="1:8" x14ac:dyDescent="0.2">
      <c r="A170" s="3" t="s">
        <v>11</v>
      </c>
      <c r="B170" s="10" t="s">
        <v>56</v>
      </c>
      <c r="C170" s="10" t="s">
        <v>96</v>
      </c>
      <c r="D170" s="3" t="s">
        <v>133</v>
      </c>
      <c r="E170" s="3" t="s">
        <v>185</v>
      </c>
      <c r="F170" s="4">
        <v>43021</v>
      </c>
      <c r="G170" s="4">
        <v>43021</v>
      </c>
      <c r="H170" s="10"/>
    </row>
    <row r="171" spans="1:8" x14ac:dyDescent="0.2">
      <c r="A171" s="3" t="s">
        <v>11</v>
      </c>
      <c r="B171" s="10" t="s">
        <v>57</v>
      </c>
      <c r="C171" s="10" t="s">
        <v>96</v>
      </c>
      <c r="D171" s="3" t="s">
        <v>134</v>
      </c>
      <c r="E171" s="3" t="s">
        <v>185</v>
      </c>
      <c r="F171" s="4">
        <v>43021</v>
      </c>
      <c r="G171" s="4">
        <v>43021</v>
      </c>
      <c r="H171" s="10"/>
    </row>
    <row r="172" spans="1:8" x14ac:dyDescent="0.2">
      <c r="A172" s="3" t="s">
        <v>11</v>
      </c>
      <c r="B172" s="10" t="s">
        <v>58</v>
      </c>
      <c r="C172" s="10" t="s">
        <v>96</v>
      </c>
      <c r="D172" s="3" t="s">
        <v>135</v>
      </c>
      <c r="E172" s="3" t="s">
        <v>185</v>
      </c>
      <c r="F172" s="4">
        <v>43021</v>
      </c>
      <c r="G172" s="4">
        <v>43021</v>
      </c>
      <c r="H172" s="10"/>
    </row>
    <row r="173" spans="1:8" x14ac:dyDescent="0.2">
      <c r="A173" s="3" t="s">
        <v>11</v>
      </c>
      <c r="B173" s="10" t="s">
        <v>59</v>
      </c>
      <c r="C173" s="10" t="s">
        <v>96</v>
      </c>
      <c r="D173" s="3" t="s">
        <v>136</v>
      </c>
      <c r="E173" s="3" t="s">
        <v>185</v>
      </c>
      <c r="F173" s="4">
        <v>43021</v>
      </c>
      <c r="G173" s="4">
        <v>43021</v>
      </c>
      <c r="H173" s="10"/>
    </row>
    <row r="174" spans="1:8" x14ac:dyDescent="0.2">
      <c r="A174" s="3" t="s">
        <v>11</v>
      </c>
      <c r="B174" s="10" t="s">
        <v>61</v>
      </c>
      <c r="C174" s="10" t="s">
        <v>96</v>
      </c>
      <c r="D174" s="3" t="s">
        <v>138</v>
      </c>
      <c r="E174" s="3" t="s">
        <v>185</v>
      </c>
      <c r="F174" s="4">
        <v>43021</v>
      </c>
      <c r="G174" s="4">
        <v>43021</v>
      </c>
      <c r="H174" s="10"/>
    </row>
    <row r="175" spans="1:8" x14ac:dyDescent="0.2">
      <c r="A175" s="3" t="s">
        <v>11</v>
      </c>
      <c r="B175" s="10" t="s">
        <v>62</v>
      </c>
      <c r="C175" s="10" t="s">
        <v>96</v>
      </c>
      <c r="D175" s="3" t="s">
        <v>139</v>
      </c>
      <c r="E175" s="3" t="s">
        <v>185</v>
      </c>
      <c r="F175" s="4">
        <v>43021</v>
      </c>
      <c r="G175" s="4">
        <v>43021</v>
      </c>
      <c r="H175" s="10"/>
    </row>
    <row r="176" spans="1:8" x14ac:dyDescent="0.2">
      <c r="A176" s="3" t="s">
        <v>11</v>
      </c>
      <c r="B176" s="10" t="s">
        <v>63</v>
      </c>
      <c r="C176" s="10" t="s">
        <v>96</v>
      </c>
      <c r="D176" s="3" t="s">
        <v>140</v>
      </c>
      <c r="E176" s="3" t="s">
        <v>185</v>
      </c>
      <c r="F176" s="4">
        <v>43021</v>
      </c>
      <c r="G176" s="4">
        <v>43021</v>
      </c>
      <c r="H176" s="10"/>
    </row>
    <row r="177" spans="1:8" ht="15" customHeight="1" x14ac:dyDescent="0.2">
      <c r="A177" s="3" t="s">
        <v>11</v>
      </c>
      <c r="B177" s="10" t="s">
        <v>64</v>
      </c>
      <c r="C177" s="10" t="s">
        <v>96</v>
      </c>
      <c r="D177" s="3" t="s">
        <v>141</v>
      </c>
      <c r="E177" s="3" t="s">
        <v>185</v>
      </c>
      <c r="F177" s="4">
        <v>43021</v>
      </c>
      <c r="G177" s="4">
        <v>43021</v>
      </c>
      <c r="H177" s="10"/>
    </row>
    <row r="178" spans="1:8" x14ac:dyDescent="0.2">
      <c r="A178" s="3" t="s">
        <v>11</v>
      </c>
      <c r="B178" s="10" t="s">
        <v>71</v>
      </c>
      <c r="C178" s="10" t="s">
        <v>96</v>
      </c>
      <c r="D178" s="3" t="s">
        <v>148</v>
      </c>
      <c r="E178" s="3" t="s">
        <v>185</v>
      </c>
      <c r="F178" s="4">
        <v>43021</v>
      </c>
      <c r="G178" s="4">
        <v>43021</v>
      </c>
      <c r="H178" s="10"/>
    </row>
    <row r="179" spans="1:8" x14ac:dyDescent="0.2">
      <c r="A179" s="3" t="s">
        <v>11</v>
      </c>
      <c r="B179" s="10" t="s">
        <v>72</v>
      </c>
      <c r="C179" s="10" t="s">
        <v>96</v>
      </c>
      <c r="D179" s="3" t="s">
        <v>149</v>
      </c>
      <c r="E179" s="3" t="s">
        <v>185</v>
      </c>
      <c r="F179" s="4">
        <v>43021</v>
      </c>
      <c r="G179" s="4">
        <v>43021</v>
      </c>
      <c r="H179" s="10"/>
    </row>
    <row r="180" spans="1:8" x14ac:dyDescent="0.2">
      <c r="A180" s="3" t="s">
        <v>11</v>
      </c>
      <c r="B180" s="10" t="s">
        <v>73</v>
      </c>
      <c r="C180" s="10" t="s">
        <v>96</v>
      </c>
      <c r="D180" s="3" t="s">
        <v>150</v>
      </c>
      <c r="E180" s="3" t="s">
        <v>185</v>
      </c>
      <c r="F180" s="4">
        <v>43021</v>
      </c>
      <c r="G180" s="4">
        <v>43021</v>
      </c>
      <c r="H180" s="10"/>
    </row>
    <row r="181" spans="1:8" x14ac:dyDescent="0.2">
      <c r="A181" s="3" t="s">
        <v>11</v>
      </c>
      <c r="B181" s="10" t="s">
        <v>74</v>
      </c>
      <c r="C181" s="10" t="s">
        <v>96</v>
      </c>
      <c r="D181" s="3" t="s">
        <v>151</v>
      </c>
      <c r="E181" s="3" t="s">
        <v>185</v>
      </c>
      <c r="F181" s="4">
        <v>43021</v>
      </c>
      <c r="G181" s="4">
        <v>43021</v>
      </c>
      <c r="H181" s="10"/>
    </row>
    <row r="182" spans="1:8" x14ac:dyDescent="0.2">
      <c r="A182" s="3" t="s">
        <v>11</v>
      </c>
      <c r="B182" s="10" t="s">
        <v>76</v>
      </c>
      <c r="C182" s="10" t="s">
        <v>96</v>
      </c>
      <c r="D182" s="3" t="s">
        <v>153</v>
      </c>
      <c r="E182" s="3" t="s">
        <v>185</v>
      </c>
      <c r="F182" s="4">
        <v>43021</v>
      </c>
      <c r="G182" s="4">
        <v>43021</v>
      </c>
      <c r="H182" s="10"/>
    </row>
    <row r="183" spans="1:8" x14ac:dyDescent="0.2">
      <c r="A183" s="3" t="s">
        <v>11</v>
      </c>
      <c r="B183" s="10" t="s">
        <v>77</v>
      </c>
      <c r="C183" s="10" t="s">
        <v>96</v>
      </c>
      <c r="D183" s="3" t="s">
        <v>154</v>
      </c>
      <c r="E183" s="3" t="s">
        <v>185</v>
      </c>
      <c r="F183" s="4">
        <v>43021</v>
      </c>
      <c r="G183" s="4">
        <v>43021</v>
      </c>
      <c r="H183" s="10"/>
    </row>
    <row r="184" spans="1:8" x14ac:dyDescent="0.2">
      <c r="A184" s="3" t="s">
        <v>11</v>
      </c>
      <c r="B184" s="10" t="s">
        <v>78</v>
      </c>
      <c r="C184" s="10" t="s">
        <v>96</v>
      </c>
      <c r="D184" s="3" t="s">
        <v>155</v>
      </c>
      <c r="E184" s="3" t="s">
        <v>185</v>
      </c>
      <c r="F184" s="4">
        <v>43021</v>
      </c>
      <c r="G184" s="4">
        <v>43021</v>
      </c>
      <c r="H184" s="10"/>
    </row>
    <row r="185" spans="1:8" x14ac:dyDescent="0.2">
      <c r="A185" s="3" t="s">
        <v>11</v>
      </c>
      <c r="B185" s="10" t="s">
        <v>79</v>
      </c>
      <c r="C185" s="10" t="s">
        <v>96</v>
      </c>
      <c r="D185" s="3" t="s">
        <v>156</v>
      </c>
      <c r="E185" s="3" t="s">
        <v>185</v>
      </c>
      <c r="F185" s="4">
        <v>43021</v>
      </c>
      <c r="G185" s="4">
        <v>43021</v>
      </c>
      <c r="H185" s="10"/>
    </row>
    <row r="186" spans="1:8" x14ac:dyDescent="0.2">
      <c r="A186" s="3" t="s">
        <v>10</v>
      </c>
      <c r="B186" s="9" t="str">
        <f>T("FLEXITOUCH PLUS REG LEFT HALF LEG GARMENT")</f>
        <v>FLEXITOUCH PLUS REG LEFT HALF LEG GARMENT</v>
      </c>
      <c r="C186" s="9" t="str">
        <f>T("TACTILE SYSTEMS TECHNOLOGY INC")</f>
        <v>TACTILE SYSTEMS TECHNOLOGY INC</v>
      </c>
      <c r="D186" s="1" t="str">
        <f>T("3L-HL-RG-L")</f>
        <v>3L-HL-RG-L</v>
      </c>
      <c r="E186" s="1" t="str">
        <f>T("E0669")</f>
        <v>E0669</v>
      </c>
      <c r="F186" s="1" t="str">
        <f>T("10/13/2017")</f>
        <v>10/13/2017</v>
      </c>
      <c r="G186" s="1" t="str">
        <f t="shared" ref="G186:H189" si="27">T("")</f>
        <v/>
      </c>
      <c r="H186" s="9" t="str">
        <f t="shared" si="27"/>
        <v/>
      </c>
    </row>
    <row r="187" spans="1:8" x14ac:dyDescent="0.2">
      <c r="A187" s="3" t="s">
        <v>10</v>
      </c>
      <c r="B187" s="9" t="str">
        <f>T("FLEXITOUCH PLUS REG RIGHT HALF LEG GARMENT")</f>
        <v>FLEXITOUCH PLUS REG RIGHT HALF LEG GARMENT</v>
      </c>
      <c r="C187" s="9" t="str">
        <f>T("TACTILE SYSTEMS TECHNOLOGY INC")</f>
        <v>TACTILE SYSTEMS TECHNOLOGY INC</v>
      </c>
      <c r="D187" s="1" t="str">
        <f>T("3L-HL-RG-R")</f>
        <v>3L-HL-RG-R</v>
      </c>
      <c r="E187" s="1" t="str">
        <f>T("E0669")</f>
        <v>E0669</v>
      </c>
      <c r="F187" s="1" t="str">
        <f>T("10/13/2017")</f>
        <v>10/13/2017</v>
      </c>
      <c r="G187" s="1" t="str">
        <f t="shared" si="27"/>
        <v/>
      </c>
      <c r="H187" s="9" t="str">
        <f t="shared" si="27"/>
        <v/>
      </c>
    </row>
    <row r="188" spans="1:8" x14ac:dyDescent="0.2">
      <c r="A188" s="3" t="s">
        <v>10</v>
      </c>
      <c r="B188" s="9" t="str">
        <f>T("FLEXITOUCH PLUS EXT LEFT HALF LEG GARMENT")</f>
        <v>FLEXITOUCH PLUS EXT LEFT HALF LEG GARMENT</v>
      </c>
      <c r="C188" s="9" t="str">
        <f>T("TACTILE SYSTEMS TECHNOLOGY INC")</f>
        <v>TACTILE SYSTEMS TECHNOLOGY INC</v>
      </c>
      <c r="D188" s="1" t="str">
        <f>T("3L-HL-XT-L")</f>
        <v>3L-HL-XT-L</v>
      </c>
      <c r="E188" s="1" t="str">
        <f>T("E0669")</f>
        <v>E0669</v>
      </c>
      <c r="F188" s="1" t="str">
        <f>T("10/13/2017")</f>
        <v>10/13/2017</v>
      </c>
      <c r="G188" s="1" t="str">
        <f t="shared" si="27"/>
        <v/>
      </c>
      <c r="H188" s="9" t="str">
        <f t="shared" si="27"/>
        <v/>
      </c>
    </row>
    <row r="189" spans="1:8" x14ac:dyDescent="0.2">
      <c r="A189" s="3" t="s">
        <v>10</v>
      </c>
      <c r="B189" s="9" t="str">
        <f>T("FLEXITOUCH PLUS EXT RIGHT HALF LEG GARMENT")</f>
        <v>FLEXITOUCH PLUS EXT RIGHT HALF LEG GARMENT</v>
      </c>
      <c r="C189" s="9" t="str">
        <f>T("TACTILE SYSTEMS TECHNOLOGY INC")</f>
        <v>TACTILE SYSTEMS TECHNOLOGY INC</v>
      </c>
      <c r="D189" s="1" t="str">
        <f>T("3L-HL-XT-R")</f>
        <v>3L-HL-XT-R</v>
      </c>
      <c r="E189" s="1" t="str">
        <f>T("E0669")</f>
        <v>E0669</v>
      </c>
      <c r="F189" s="1" t="str">
        <f>T("10/13/2017")</f>
        <v>10/13/2017</v>
      </c>
      <c r="G189" s="1" t="str">
        <f t="shared" si="27"/>
        <v/>
      </c>
      <c r="H189" s="9" t="str">
        <f t="shared" si="27"/>
        <v/>
      </c>
    </row>
    <row r="190" spans="1:8" x14ac:dyDescent="0.2">
      <c r="A190" s="3" t="s">
        <v>11</v>
      </c>
      <c r="B190" s="10" t="s">
        <v>51</v>
      </c>
      <c r="C190" s="10" t="s">
        <v>96</v>
      </c>
      <c r="D190" s="3" t="s">
        <v>128</v>
      </c>
      <c r="E190" s="3" t="s">
        <v>183</v>
      </c>
      <c r="F190" s="4">
        <v>43021</v>
      </c>
      <c r="G190" s="4">
        <v>43021</v>
      </c>
      <c r="H190" s="10"/>
    </row>
    <row r="191" spans="1:8" x14ac:dyDescent="0.2">
      <c r="A191" s="3" t="s">
        <v>11</v>
      </c>
      <c r="B191" s="10" t="s">
        <v>52</v>
      </c>
      <c r="C191" s="10" t="s">
        <v>96</v>
      </c>
      <c r="D191" s="3" t="s">
        <v>129</v>
      </c>
      <c r="E191" s="3" t="s">
        <v>183</v>
      </c>
      <c r="F191" s="4">
        <v>43021</v>
      </c>
      <c r="G191" s="4">
        <v>43021</v>
      </c>
      <c r="H191" s="10"/>
    </row>
    <row r="192" spans="1:8" x14ac:dyDescent="0.2">
      <c r="A192" s="3" t="s">
        <v>11</v>
      </c>
      <c r="B192" s="10" t="s">
        <v>69</v>
      </c>
      <c r="C192" s="10" t="s">
        <v>96</v>
      </c>
      <c r="D192" s="3" t="s">
        <v>146</v>
      </c>
      <c r="E192" s="3" t="s">
        <v>183</v>
      </c>
      <c r="F192" s="4">
        <v>43021</v>
      </c>
      <c r="G192" s="4">
        <v>43021</v>
      </c>
      <c r="H192" s="10"/>
    </row>
    <row r="193" spans="1:8" x14ac:dyDescent="0.2">
      <c r="A193" s="3" t="s">
        <v>11</v>
      </c>
      <c r="B193" s="10" t="s">
        <v>70</v>
      </c>
      <c r="C193" s="10" t="s">
        <v>96</v>
      </c>
      <c r="D193" s="3" t="s">
        <v>147</v>
      </c>
      <c r="E193" s="3" t="s">
        <v>183</v>
      </c>
      <c r="F193" s="4">
        <v>43021</v>
      </c>
      <c r="G193" s="4">
        <v>43021</v>
      </c>
      <c r="H193" s="10"/>
    </row>
    <row r="194" spans="1:8" x14ac:dyDescent="0.2">
      <c r="A194" s="3" t="s">
        <v>10</v>
      </c>
      <c r="B194" s="9" t="s">
        <v>22</v>
      </c>
      <c r="C194" s="9" t="s">
        <v>87</v>
      </c>
      <c r="D194" s="1" t="s">
        <v>110</v>
      </c>
      <c r="E194" s="1" t="s">
        <v>166</v>
      </c>
      <c r="F194" s="1" t="s">
        <v>189</v>
      </c>
      <c r="G194" s="1" t="s">
        <v>7</v>
      </c>
      <c r="H194" s="9" t="s">
        <v>7</v>
      </c>
    </row>
    <row r="195" spans="1:8" x14ac:dyDescent="0.2">
      <c r="A195" s="3" t="s">
        <v>10</v>
      </c>
      <c r="B195" s="9" t="s">
        <v>46</v>
      </c>
      <c r="C195" s="9" t="s">
        <v>13</v>
      </c>
      <c r="D195" s="1" t="s">
        <v>124</v>
      </c>
      <c r="E195" s="1" t="s">
        <v>178</v>
      </c>
      <c r="F195" s="1" t="s">
        <v>191</v>
      </c>
      <c r="G195" s="1" t="s">
        <v>7</v>
      </c>
      <c r="H195" s="9" t="s">
        <v>7</v>
      </c>
    </row>
    <row r="196" spans="1:8" ht="25.5" x14ac:dyDescent="0.2">
      <c r="A196" s="3" t="s">
        <v>10</v>
      </c>
      <c r="B196" s="9" t="s">
        <v>47</v>
      </c>
      <c r="C196" s="9" t="s">
        <v>13</v>
      </c>
      <c r="D196" s="1" t="s">
        <v>125</v>
      </c>
      <c r="E196" s="1" t="s">
        <v>179</v>
      </c>
      <c r="F196" s="1" t="s">
        <v>191</v>
      </c>
      <c r="G196" s="1" t="s">
        <v>7</v>
      </c>
      <c r="H196" s="9" t="s">
        <v>194</v>
      </c>
    </row>
    <row r="197" spans="1:8" x14ac:dyDescent="0.2">
      <c r="A197" s="3" t="s">
        <v>10</v>
      </c>
      <c r="B197" s="9" t="str">
        <f>T("ROGUE XP")</f>
        <v>ROGUE XP</v>
      </c>
      <c r="C197" s="9" t="str">
        <f>T("KI MOBILITY")</f>
        <v>KI MOBILITY</v>
      </c>
      <c r="D197" s="1" t="str">
        <f>T("")</f>
        <v/>
      </c>
      <c r="E197" s="1" t="str">
        <f>T("E1235 OR E1237 OR K0005")</f>
        <v>E1235 OR E1237 OR K0005</v>
      </c>
      <c r="F197" s="1" t="str">
        <f>T("10/13/2017")</f>
        <v>10/13/2017</v>
      </c>
      <c r="G197" s="1" t="str">
        <f>T("")</f>
        <v/>
      </c>
      <c r="H197" s="9" t="str">
        <f>T("")</f>
        <v/>
      </c>
    </row>
    <row r="198" spans="1:8" x14ac:dyDescent="0.2">
      <c r="A198" s="3" t="s">
        <v>10</v>
      </c>
      <c r="B198" s="9" t="str">
        <f>T("ROGUE XPE")</f>
        <v>ROGUE XPE</v>
      </c>
      <c r="C198" s="9" t="str">
        <f>T("KI MOBILITY")</f>
        <v>KI MOBILITY</v>
      </c>
      <c r="D198" s="1" t="str">
        <f>T("")</f>
        <v/>
      </c>
      <c r="E198" s="1" t="str">
        <f>T("E1235 OR E1237 OR K0005")</f>
        <v>E1235 OR E1237 OR K0005</v>
      </c>
      <c r="F198" s="1" t="str">
        <f>T("10/13/2017")</f>
        <v>10/13/2017</v>
      </c>
      <c r="G198" s="1" t="str">
        <f>T("")</f>
        <v/>
      </c>
      <c r="H198" s="9" t="str">
        <f>T("")</f>
        <v/>
      </c>
    </row>
    <row r="199" spans="1:8" x14ac:dyDescent="0.2">
      <c r="A199" s="3" t="s">
        <v>10</v>
      </c>
      <c r="B199" s="9" t="str">
        <f>T("ROGUE XP TTL")</f>
        <v>ROGUE XP TTL</v>
      </c>
      <c r="C199" s="9" t="str">
        <f>T("KI MOBILITY")</f>
        <v>KI MOBILITY</v>
      </c>
      <c r="D199" s="1" t="str">
        <f>T("")</f>
        <v/>
      </c>
      <c r="E199" s="1" t="str">
        <f>T("E1235 OR E1237 OR K0005")</f>
        <v>E1235 OR E1237 OR K0005</v>
      </c>
      <c r="F199" s="1" t="str">
        <f>T("10/13/2017")</f>
        <v>10/13/2017</v>
      </c>
      <c r="G199" s="1" t="str">
        <f>T("")</f>
        <v/>
      </c>
      <c r="H199" s="9"/>
    </row>
    <row r="200" spans="1:8" x14ac:dyDescent="0.2">
      <c r="A200" s="3" t="s">
        <v>10</v>
      </c>
      <c r="B200" s="9" t="str">
        <f>T("LITTLE WAVE - CLIK XP")</f>
        <v>LITTLE WAVE - CLIK XP</v>
      </c>
      <c r="C200" s="9" t="str">
        <f>T("KI MOBILITY")</f>
        <v>KI MOBILITY</v>
      </c>
      <c r="D200" s="1" t="str">
        <f>T("LITTLE WAVE - CLIK XP")</f>
        <v>LITTLE WAVE - CLIK XP</v>
      </c>
      <c r="E200" s="1" t="str">
        <f>T("E1235 OR E1237 OR K0005")</f>
        <v>E1235 OR E1237 OR K0005</v>
      </c>
      <c r="F200" s="1" t="str">
        <f>T("10/16/2017")</f>
        <v>10/16/2017</v>
      </c>
      <c r="G200" s="1" t="str">
        <f>T("")</f>
        <v/>
      </c>
      <c r="H200" s="9" t="str">
        <f>T("")</f>
        <v/>
      </c>
    </row>
    <row r="201" spans="1:8" x14ac:dyDescent="0.2">
      <c r="A201" s="3" t="s">
        <v>10</v>
      </c>
      <c r="B201" s="9" t="str">
        <f>T("LITTLE WAVE - CLIK XPE")</f>
        <v>LITTLE WAVE - CLIK XPE</v>
      </c>
      <c r="C201" s="9" t="str">
        <f>T("KI MOBILITY")</f>
        <v>KI MOBILITY</v>
      </c>
      <c r="D201" s="1" t="str">
        <f>T("LITTLE WAVE - CLIK XPE")</f>
        <v>LITTLE WAVE - CLIK XPE</v>
      </c>
      <c r="E201" s="1" t="str">
        <f>T("E1235 OR E1237 OR K0005")</f>
        <v>E1235 OR E1237 OR K0005</v>
      </c>
      <c r="F201" s="1" t="str">
        <f>T("10/16/2017")</f>
        <v>10/16/2017</v>
      </c>
      <c r="G201" s="1" t="str">
        <f>T("")</f>
        <v/>
      </c>
      <c r="H201" s="9" t="str">
        <f>T("")</f>
        <v/>
      </c>
    </row>
    <row r="202" spans="1:8" ht="25.5" x14ac:dyDescent="0.2">
      <c r="A202" s="3" t="s">
        <v>11</v>
      </c>
      <c r="B202" s="10" t="s">
        <v>41</v>
      </c>
      <c r="C202" s="10" t="s">
        <v>94</v>
      </c>
      <c r="D202" s="3"/>
      <c r="E202" s="3" t="s">
        <v>176</v>
      </c>
      <c r="F202" s="4">
        <v>42501</v>
      </c>
      <c r="G202" s="4">
        <v>43020</v>
      </c>
      <c r="H202" s="9" t="s">
        <v>193</v>
      </c>
    </row>
    <row r="203" spans="1:8" ht="25.5" x14ac:dyDescent="0.2">
      <c r="A203" s="3" t="s">
        <v>11</v>
      </c>
      <c r="B203" s="10" t="s">
        <v>42</v>
      </c>
      <c r="C203" s="10" t="s">
        <v>94</v>
      </c>
      <c r="D203" s="3"/>
      <c r="E203" s="3" t="s">
        <v>176</v>
      </c>
      <c r="F203" s="4">
        <v>42501</v>
      </c>
      <c r="G203" s="4">
        <v>43020</v>
      </c>
      <c r="H203" s="9" t="s">
        <v>193</v>
      </c>
    </row>
    <row r="204" spans="1:8" x14ac:dyDescent="0.2">
      <c r="A204" s="3" t="s">
        <v>11</v>
      </c>
      <c r="B204" s="10" t="s">
        <v>44</v>
      </c>
      <c r="C204" s="10" t="s">
        <v>94</v>
      </c>
      <c r="D204" s="2" t="s">
        <v>44</v>
      </c>
      <c r="E204" s="3" t="s">
        <v>176</v>
      </c>
      <c r="F204" s="4">
        <v>42885</v>
      </c>
      <c r="G204" s="4">
        <v>43023</v>
      </c>
      <c r="H204" s="10"/>
    </row>
    <row r="205" spans="1:8" x14ac:dyDescent="0.2">
      <c r="A205" s="3" t="s">
        <v>11</v>
      </c>
      <c r="B205" s="10" t="s">
        <v>45</v>
      </c>
      <c r="C205" s="10" t="s">
        <v>94</v>
      </c>
      <c r="D205" s="2" t="s">
        <v>45</v>
      </c>
      <c r="E205" s="3" t="s">
        <v>176</v>
      </c>
      <c r="F205" s="4">
        <v>42885</v>
      </c>
      <c r="G205" s="4">
        <v>43023</v>
      </c>
      <c r="H205" s="10"/>
    </row>
    <row r="206" spans="1:8" x14ac:dyDescent="0.2">
      <c r="A206" s="3" t="s">
        <v>10</v>
      </c>
      <c r="B206" s="9" t="str">
        <f>T("DEROYAL PROSPERA MINI NPWT PUMP")</f>
        <v>DEROYAL PROSPERA MINI NPWT PUMP</v>
      </c>
      <c r="C206" s="9" t="str">
        <f>T("DEROYAL INDUSTRIES INC")</f>
        <v>DEROYAL INDUSTRIES INC</v>
      </c>
      <c r="D206" s="1" t="str">
        <f>T("NP-1000M-US")</f>
        <v>NP-1000M-US</v>
      </c>
      <c r="E206" s="1" t="str">
        <f>T("E2402")</f>
        <v>E2402</v>
      </c>
      <c r="F206" s="1" t="str">
        <f>T("10/10/2017")</f>
        <v>10/10/2017</v>
      </c>
      <c r="G206" s="1" t="str">
        <f t="shared" ref="G206:H211" si="28">T("")</f>
        <v/>
      </c>
      <c r="H206" s="9" t="str">
        <f t="shared" si="28"/>
        <v/>
      </c>
    </row>
    <row r="207" spans="1:8" x14ac:dyDescent="0.2">
      <c r="A207" s="3" t="s">
        <v>10</v>
      </c>
      <c r="B207" s="9" t="str">
        <f>T("PREMIUM FOAM CUSHION")</f>
        <v>PREMIUM FOAM CUSHION</v>
      </c>
      <c r="C207" s="9" t="str">
        <f>T("MCKESSON MEDICAL-SURGICAL")</f>
        <v>MCKESSON MEDICAL-SURGICAL</v>
      </c>
      <c r="D207" s="1" t="str">
        <f>T("170-76001SP")</f>
        <v>170-76001SP</v>
      </c>
      <c r="E207" s="1" t="str">
        <f>T("E2605")</f>
        <v>E2605</v>
      </c>
      <c r="F207" s="1" t="str">
        <f>T("10/19/2017")</f>
        <v>10/19/2017</v>
      </c>
      <c r="G207" s="1" t="str">
        <f t="shared" si="28"/>
        <v/>
      </c>
      <c r="H207" s="9" t="str">
        <f t="shared" si="28"/>
        <v/>
      </c>
    </row>
    <row r="208" spans="1:8" x14ac:dyDescent="0.2">
      <c r="A208" s="3" t="s">
        <v>10</v>
      </c>
      <c r="B208" s="9" t="str">
        <f>T("PREMIUM FOAM CUSHION")</f>
        <v>PREMIUM FOAM CUSHION</v>
      </c>
      <c r="C208" s="9" t="str">
        <f>T("MCKESSON MEDICAL-SURGICAL")</f>
        <v>MCKESSON MEDICAL-SURGICAL</v>
      </c>
      <c r="D208" s="1" t="str">
        <f>T("170-76002SP")</f>
        <v>170-76002SP</v>
      </c>
      <c r="E208" s="1" t="str">
        <f>T("E2605")</f>
        <v>E2605</v>
      </c>
      <c r="F208" s="1" t="str">
        <f>T("10/19/2017")</f>
        <v>10/19/2017</v>
      </c>
      <c r="G208" s="1" t="str">
        <f t="shared" si="28"/>
        <v/>
      </c>
      <c r="H208" s="9" t="str">
        <f t="shared" si="28"/>
        <v/>
      </c>
    </row>
    <row r="209" spans="1:8" x14ac:dyDescent="0.2">
      <c r="A209" s="3" t="s">
        <v>10</v>
      </c>
      <c r="B209" s="9" t="str">
        <f>T("PREMIUM FOAM CUSHION")</f>
        <v>PREMIUM FOAM CUSHION</v>
      </c>
      <c r="C209" s="9" t="str">
        <f>T("MCKESSON MEDICAL-SURGICAL")</f>
        <v>MCKESSON MEDICAL-SURGICAL</v>
      </c>
      <c r="D209" s="1" t="str">
        <f>T("170-76003SP")</f>
        <v>170-76003SP</v>
      </c>
      <c r="E209" s="1" t="str">
        <f>T("E2605")</f>
        <v>E2605</v>
      </c>
      <c r="F209" s="1" t="str">
        <f>T("10/19/2017")</f>
        <v>10/19/2017</v>
      </c>
      <c r="G209" s="1" t="str">
        <f t="shared" si="28"/>
        <v/>
      </c>
      <c r="H209" s="9" t="str">
        <f t="shared" si="28"/>
        <v/>
      </c>
    </row>
    <row r="210" spans="1:8" x14ac:dyDescent="0.2">
      <c r="A210" s="3" t="s">
        <v>10</v>
      </c>
      <c r="B210" s="9" t="str">
        <f>T("PREMIUM FOAM CUSHION")</f>
        <v>PREMIUM FOAM CUSHION</v>
      </c>
      <c r="C210" s="9" t="str">
        <f>T("MCKESSON MEDICAL-SURGICAL")</f>
        <v>MCKESSON MEDICAL-SURGICAL</v>
      </c>
      <c r="D210" s="1" t="str">
        <f>T("170-76004SP")</f>
        <v>170-76004SP</v>
      </c>
      <c r="E210" s="1" t="str">
        <f>T("E2605")</f>
        <v>E2605</v>
      </c>
      <c r="F210" s="1" t="str">
        <f>T("10/19/2017")</f>
        <v>10/19/2017</v>
      </c>
      <c r="G210" s="1" t="str">
        <f t="shared" si="28"/>
        <v/>
      </c>
      <c r="H210" s="9" t="str">
        <f t="shared" si="28"/>
        <v/>
      </c>
    </row>
    <row r="211" spans="1:8" x14ac:dyDescent="0.2">
      <c r="A211" s="3" t="s">
        <v>10</v>
      </c>
      <c r="B211" s="9" t="str">
        <f>T("PREMIUM FOAM CUSHION")</f>
        <v>PREMIUM FOAM CUSHION</v>
      </c>
      <c r="C211" s="9" t="str">
        <f>T("MCKESSON MEDICAL-SURGICAL")</f>
        <v>MCKESSON MEDICAL-SURGICAL</v>
      </c>
      <c r="D211" s="1" t="str">
        <f>T("170-76008SP")</f>
        <v>170-76008SP</v>
      </c>
      <c r="E211" s="1" t="str">
        <f>T("E2605")</f>
        <v>E2605</v>
      </c>
      <c r="F211" s="1" t="str">
        <f>T("10/19/2017")</f>
        <v>10/19/2017</v>
      </c>
      <c r="G211" s="1" t="str">
        <f t="shared" si="28"/>
        <v/>
      </c>
      <c r="H211" s="9" t="str">
        <f t="shared" si="28"/>
        <v/>
      </c>
    </row>
    <row r="212" spans="1:8" x14ac:dyDescent="0.2">
      <c r="A212" s="3" t="s">
        <v>10</v>
      </c>
      <c r="B212" s="9" t="str">
        <f t="shared" ref="B212:B217" si="29">T("JAY J3 BACK")</f>
        <v>JAY J3 BACK</v>
      </c>
      <c r="C212" s="9" t="str">
        <f t="shared" ref="C212:C217" si="30">T("SUNRISE MEDICAL (US) LLC")</f>
        <v>SUNRISE MEDICAL (US) LLC</v>
      </c>
      <c r="D212" s="1" t="str">
        <f>T("J3HVPAXXXYYZZ")</f>
        <v>J3HVPAXXXYYZZ</v>
      </c>
      <c r="E212" s="1" t="str">
        <f>T("E2613")</f>
        <v>E2613</v>
      </c>
      <c r="F212" s="1" t="str">
        <f t="shared" ref="F212:F217" si="31">T("10/10/2017")</f>
        <v>10/10/2017</v>
      </c>
      <c r="G212" s="1" t="str">
        <f t="shared" ref="G212:G217" si="32">T("")</f>
        <v/>
      </c>
      <c r="H212" s="9" t="str">
        <f>T("THE XX, YY AND ZZ WITHIN THE MODEL NUMBER ARE PLACEHOLDERS FOR HEIGHT (XX), WIDTH (YY) AND HARDWARE (ZZ)")</f>
        <v>THE XX, YY AND ZZ WITHIN THE MODEL NUMBER ARE PLACEHOLDERS FOR HEIGHT (XX), WIDTH (YY) AND HARDWARE (ZZ)</v>
      </c>
    </row>
    <row r="213" spans="1:8" x14ac:dyDescent="0.2">
      <c r="A213" s="3" t="s">
        <v>10</v>
      </c>
      <c r="B213" s="9" t="str">
        <f t="shared" si="29"/>
        <v>JAY J3 BACK</v>
      </c>
      <c r="C213" s="9" t="str">
        <f t="shared" si="30"/>
        <v>SUNRISE MEDICAL (US) LLC</v>
      </c>
      <c r="D213" s="1" t="str">
        <f>T("MJ3HVPAXXXYYZZ")</f>
        <v>MJ3HVPAXXXYYZZ</v>
      </c>
      <c r="E213" s="1" t="str">
        <f>T("E2613")</f>
        <v>E2613</v>
      </c>
      <c r="F213" s="1" t="str">
        <f t="shared" si="31"/>
        <v>10/10/2017</v>
      </c>
      <c r="G213" s="1" t="str">
        <f t="shared" si="32"/>
        <v/>
      </c>
      <c r="H213" s="9" t="str">
        <f>T("THE XX, YY AND ZZ WITHIN THE MODEL NUMBER ARE PLACEHOLDERS FOR HEIGHT (XX), WIDTH (YY) AND HARDWARE (ZZ)")</f>
        <v>THE XX, YY AND ZZ WITHIN THE MODEL NUMBER ARE PLACEHOLDERS FOR HEIGHT (XX), WIDTH (YY) AND HARDWARE (ZZ)</v>
      </c>
    </row>
    <row r="214" spans="1:8" x14ac:dyDescent="0.2">
      <c r="A214" s="3" t="s">
        <v>10</v>
      </c>
      <c r="B214" s="9" t="str">
        <f t="shared" si="29"/>
        <v>JAY J3 BACK</v>
      </c>
      <c r="C214" s="9" t="str">
        <f t="shared" si="30"/>
        <v>SUNRISE MEDICAL (US) LLC</v>
      </c>
      <c r="D214" s="1" t="str">
        <f>T("J3HVPLXXXYYZZ")</f>
        <v>J3HVPLXXXYYZZ</v>
      </c>
      <c r="E214" s="1" t="str">
        <f>T("E2615")</f>
        <v>E2615</v>
      </c>
      <c r="F214" s="1" t="str">
        <f t="shared" si="31"/>
        <v>10/10/2017</v>
      </c>
      <c r="G214" s="1" t="str">
        <f t="shared" si="32"/>
        <v/>
      </c>
      <c r="H214" s="9" t="str">
        <f>T("THE XXX, YY AND ZZ WITHIN THE MODEL NUMBER ARE PLACEHOLDERS FOR HEIGHT (XXX), WIDTH (YY) AND HARDWARE (ZZ)")</f>
        <v>THE XXX, YY AND ZZ WITHIN THE MODEL NUMBER ARE PLACEHOLDERS FOR HEIGHT (XXX), WIDTH (YY) AND HARDWARE (ZZ)</v>
      </c>
    </row>
    <row r="215" spans="1:8" x14ac:dyDescent="0.2">
      <c r="A215" s="3" t="s">
        <v>10</v>
      </c>
      <c r="B215" s="9" t="str">
        <f t="shared" si="29"/>
        <v>JAY J3 BACK</v>
      </c>
      <c r="C215" s="9" t="str">
        <f t="shared" si="30"/>
        <v>SUNRISE MEDICAL (US) LLC</v>
      </c>
      <c r="D215" s="1" t="str">
        <f>T("MJ3HVPLXXXYYZZ")</f>
        <v>MJ3HVPLXXXYYZZ</v>
      </c>
      <c r="E215" s="1" t="str">
        <f>T("E2615")</f>
        <v>E2615</v>
      </c>
      <c r="F215" s="1" t="str">
        <f t="shared" si="31"/>
        <v>10/10/2017</v>
      </c>
      <c r="G215" s="1" t="str">
        <f t="shared" si="32"/>
        <v/>
      </c>
      <c r="H215" s="9" t="str">
        <f>T("THE XXX, YY AND ZZ WITHIN THE MODEL NUMBER ARE PLACEHOLDERS FOR HEIGHT (XXX), WIDTH (YY) AND HARDWARE (ZZ)")</f>
        <v>THE XXX, YY AND ZZ WITHIN THE MODEL NUMBER ARE PLACEHOLDERS FOR HEIGHT (XXX), WIDTH (YY) AND HARDWARE (ZZ)</v>
      </c>
    </row>
    <row r="216" spans="1:8" x14ac:dyDescent="0.2">
      <c r="A216" s="3" t="s">
        <v>10</v>
      </c>
      <c r="B216" s="9" t="str">
        <f t="shared" si="29"/>
        <v>JAY J3 BACK</v>
      </c>
      <c r="C216" s="9" t="str">
        <f t="shared" si="30"/>
        <v>SUNRISE MEDICAL (US) LLC</v>
      </c>
      <c r="D216" s="1" t="str">
        <f>T("J3HVPDXXXYYZZ")</f>
        <v>J3HVPDXXXYYZZ</v>
      </c>
      <c r="E216" s="1" t="str">
        <f>T("E2620")</f>
        <v>E2620</v>
      </c>
      <c r="F216" s="1" t="str">
        <f t="shared" si="31"/>
        <v>10/10/2017</v>
      </c>
      <c r="G216" s="1" t="str">
        <f t="shared" si="32"/>
        <v/>
      </c>
      <c r="H216" s="9" t="str">
        <f>T("THE XXX, YY AND ZZ WITHIN THE MODEL NUMBER ARE PLACEHOLDERS FOR HEIGHT (XXX), WIDTH (YY) AND HARDWARE (ZZ)")</f>
        <v>THE XXX, YY AND ZZ WITHIN THE MODEL NUMBER ARE PLACEHOLDERS FOR HEIGHT (XXX), WIDTH (YY) AND HARDWARE (ZZ)</v>
      </c>
    </row>
    <row r="217" spans="1:8" x14ac:dyDescent="0.2">
      <c r="A217" s="3" t="s">
        <v>10</v>
      </c>
      <c r="B217" s="9" t="str">
        <f t="shared" si="29"/>
        <v>JAY J3 BACK</v>
      </c>
      <c r="C217" s="9" t="str">
        <f t="shared" si="30"/>
        <v>SUNRISE MEDICAL (US) LLC</v>
      </c>
      <c r="D217" s="1" t="str">
        <f>T("MJ3HVPDXXXYYZZ")</f>
        <v>MJ3HVPDXXXYYZZ</v>
      </c>
      <c r="E217" s="1" t="str">
        <f>T("E2620")</f>
        <v>E2620</v>
      </c>
      <c r="F217" s="1" t="str">
        <f t="shared" si="31"/>
        <v>10/10/2017</v>
      </c>
      <c r="G217" s="1" t="str">
        <f t="shared" si="32"/>
        <v/>
      </c>
      <c r="H217" s="9" t="str">
        <f>T("THE XXX, YY AND ZZ WITHIN THE MODEL NUMBER ARE PLACEHOLDERS FOR HEIGHT (XXX), WIDTH (YY) AND HARDWARE (ZZ)")</f>
        <v>THE XXX, YY AND ZZ WITHIN THE MODEL NUMBER ARE PLACEHOLDERS FOR HEIGHT (XXX), WIDTH (YY) AND HARDWARE (ZZ)</v>
      </c>
    </row>
    <row r="218" spans="1:8" x14ac:dyDescent="0.2">
      <c r="A218" s="3" t="s">
        <v>10</v>
      </c>
      <c r="B218" s="9" t="s">
        <v>48</v>
      </c>
      <c r="C218" s="9" t="s">
        <v>13</v>
      </c>
      <c r="D218" s="1" t="s">
        <v>126</v>
      </c>
      <c r="E218" s="1" t="s">
        <v>180</v>
      </c>
      <c r="F218" s="1" t="s">
        <v>191</v>
      </c>
      <c r="G218" s="1" t="s">
        <v>7</v>
      </c>
      <c r="H218" s="9" t="s">
        <v>7</v>
      </c>
    </row>
    <row r="219" spans="1:8" x14ac:dyDescent="0.2">
      <c r="A219" s="3" t="s">
        <v>10</v>
      </c>
      <c r="B219" s="9" t="str">
        <f>T("VISION CF")</f>
        <v>VISION CF</v>
      </c>
      <c r="C219" s="9" t="str">
        <f>T("MERITS HEALTH PRODUCTS INC")</f>
        <v>MERITS HEALTH PRODUCTS INC</v>
      </c>
      <c r="D219" s="1" t="str">
        <f>T("P322-2PS S")</f>
        <v>P322-2PS S</v>
      </c>
      <c r="E219" s="1" t="str">
        <f>T("K0820")</f>
        <v>K0820</v>
      </c>
      <c r="F219" s="1" t="str">
        <f>T("10/24/2017")</f>
        <v>10/24/2017</v>
      </c>
      <c r="G219" s="1" t="str">
        <f t="shared" ref="G219:H221" si="33">T("")</f>
        <v/>
      </c>
      <c r="H219" s="9" t="str">
        <f t="shared" si="33"/>
        <v/>
      </c>
    </row>
    <row r="220" spans="1:8" x14ac:dyDescent="0.2">
      <c r="A220" s="3" t="s">
        <v>10</v>
      </c>
      <c r="B220" s="9" t="str">
        <f>T("VISION CF")</f>
        <v>VISION CF</v>
      </c>
      <c r="C220" s="9" t="str">
        <f>T("MERITS HEALTH PRODUCTS INC")</f>
        <v>MERITS HEALTH PRODUCTS INC</v>
      </c>
      <c r="D220" s="1" t="str">
        <f>T("P322-2PS C")</f>
        <v>P322-2PS C</v>
      </c>
      <c r="E220" s="1" t="str">
        <f>T("K0821")</f>
        <v>K0821</v>
      </c>
      <c r="F220" s="1" t="str">
        <f>T("10/24/2017")</f>
        <v>10/24/2017</v>
      </c>
      <c r="G220" s="1" t="str">
        <f t="shared" si="33"/>
        <v/>
      </c>
      <c r="H220" s="9" t="str">
        <f t="shared" si="33"/>
        <v/>
      </c>
    </row>
    <row r="221" spans="1:8" ht="25.5" x14ac:dyDescent="0.2">
      <c r="A221" s="3" t="s">
        <v>10</v>
      </c>
      <c r="B221" s="9" t="str">
        <f>T("SHOPRIDER XLR14-SS")</f>
        <v>SHOPRIDER XLR14-SS</v>
      </c>
      <c r="C221" s="9" t="str">
        <f>T("SHOPRIDER MOBILITY PRODUCTS INC / PIHSIANG MACHINERY MANUFACTURING COMPANY")</f>
        <v>SHOPRIDER MOBILITY PRODUCTS INC / PIHSIANG MACHINERY MANUFACTURING COMPANY</v>
      </c>
      <c r="D221" s="1" t="str">
        <f>T("P424LE-SS")</f>
        <v>P424LE-SS</v>
      </c>
      <c r="E221" s="1" t="str">
        <f>T("K0835")</f>
        <v>K0835</v>
      </c>
      <c r="F221" s="1" t="str">
        <f>T("10/05/2017")</f>
        <v>10/05/2017</v>
      </c>
      <c r="G221" s="1" t="str">
        <f t="shared" si="33"/>
        <v/>
      </c>
      <c r="H221" s="9" t="str">
        <f t="shared" si="33"/>
        <v/>
      </c>
    </row>
    <row r="222" spans="1:8" ht="25.5" x14ac:dyDescent="0.2">
      <c r="A222" s="3" t="s">
        <v>10</v>
      </c>
      <c r="B222" s="9" t="s">
        <v>25</v>
      </c>
      <c r="C222" s="9" t="s">
        <v>90</v>
      </c>
      <c r="D222" s="1" t="s">
        <v>115</v>
      </c>
      <c r="E222" s="1" t="s">
        <v>170</v>
      </c>
      <c r="F222" s="1" t="s">
        <v>190</v>
      </c>
      <c r="G222" s="1" t="s">
        <v>7</v>
      </c>
      <c r="H222" s="9" t="s">
        <v>7</v>
      </c>
    </row>
    <row r="223" spans="1:8" x14ac:dyDescent="0.2">
      <c r="A223" s="3" t="s">
        <v>10</v>
      </c>
      <c r="B223" s="9" t="str">
        <f>T("CYBERCROSS TLSO")</f>
        <v>CYBERCROSS TLSO</v>
      </c>
      <c r="C223" s="9" t="str">
        <f>T("OTTO BOCK HEALTHCARE")</f>
        <v>OTTO BOCK HEALTHCARE</v>
      </c>
      <c r="D223" s="1" t="str">
        <f>T("28R27")</f>
        <v>28R27</v>
      </c>
      <c r="E223" s="1" t="str">
        <f>T("L0472")</f>
        <v>L0472</v>
      </c>
      <c r="F223" s="1" t="str">
        <f>T("10/19/2017")</f>
        <v>10/19/2017</v>
      </c>
      <c r="G223" s="1" t="str">
        <f t="shared" ref="G223:H232" si="34">T("")</f>
        <v/>
      </c>
      <c r="H223" s="9" t="str">
        <f t="shared" si="34"/>
        <v/>
      </c>
    </row>
    <row r="224" spans="1:8" x14ac:dyDescent="0.2">
      <c r="A224" s="3" t="s">
        <v>10</v>
      </c>
      <c r="B224" s="9" t="str">
        <f>T("HORIZON 639")</f>
        <v>HORIZON 639</v>
      </c>
      <c r="C224" s="9" t="str">
        <f>T("ASPEN MEDICAL PRODUCTS INC")</f>
        <v>ASPEN MEDICAL PRODUCTS INC</v>
      </c>
      <c r="D224" s="1" t="str">
        <f>T("993735")</f>
        <v>993735</v>
      </c>
      <c r="E224" s="1" t="str">
        <f>T("L0639 OR L0651")</f>
        <v>L0639 OR L0651</v>
      </c>
      <c r="F224" s="1" t="str">
        <f>T("10/27/2017")</f>
        <v>10/27/2017</v>
      </c>
      <c r="G224" s="1" t="str">
        <f t="shared" si="34"/>
        <v/>
      </c>
      <c r="H224" s="9" t="str">
        <f t="shared" si="34"/>
        <v/>
      </c>
    </row>
    <row r="225" spans="1:8" x14ac:dyDescent="0.2">
      <c r="A225" s="3" t="s">
        <v>10</v>
      </c>
      <c r="B225" s="9" t="str">
        <f>T("HORIZON 639")</f>
        <v>HORIZON 639</v>
      </c>
      <c r="C225" s="9" t="str">
        <f>T("ASPEN MEDICAL PRODUCTS INC")</f>
        <v>ASPEN MEDICAL PRODUCTS INC</v>
      </c>
      <c r="D225" s="1" t="str">
        <f>T("993835")</f>
        <v>993835</v>
      </c>
      <c r="E225" s="1" t="str">
        <f>T("L0639 OR L0651")</f>
        <v>L0639 OR L0651</v>
      </c>
      <c r="F225" s="1" t="str">
        <f>T("10/27/2017")</f>
        <v>10/27/2017</v>
      </c>
      <c r="G225" s="1" t="str">
        <f t="shared" si="34"/>
        <v/>
      </c>
      <c r="H225" s="9" t="str">
        <f t="shared" si="34"/>
        <v/>
      </c>
    </row>
    <row r="226" spans="1:8" x14ac:dyDescent="0.2">
      <c r="A226" s="3" t="s">
        <v>10</v>
      </c>
      <c r="B226" s="9" t="str">
        <f>T("HORIZON 639")</f>
        <v>HORIZON 639</v>
      </c>
      <c r="C226" s="9" t="str">
        <f>T("ASPEN MEDICAL PRODUCTS INC")</f>
        <v>ASPEN MEDICAL PRODUCTS INC</v>
      </c>
      <c r="D226" s="1" t="str">
        <f>T("993935")</f>
        <v>993935</v>
      </c>
      <c r="E226" s="1" t="str">
        <f>T("L0639 OR L0651")</f>
        <v>L0639 OR L0651</v>
      </c>
      <c r="F226" s="1" t="str">
        <f>T("10/27/2017")</f>
        <v>10/27/2017</v>
      </c>
      <c r="G226" s="1" t="str">
        <f t="shared" si="34"/>
        <v/>
      </c>
      <c r="H226" s="9" t="str">
        <f t="shared" si="34"/>
        <v/>
      </c>
    </row>
    <row r="227" spans="1:8" x14ac:dyDescent="0.2">
      <c r="A227" s="3" t="s">
        <v>10</v>
      </c>
      <c r="B227" s="9" t="str">
        <f t="shared" ref="B227:B232" si="35">T("KNEE STABILIZER WRAP")</f>
        <v>KNEE STABILIZER WRAP</v>
      </c>
      <c r="C227" s="9" t="str">
        <f t="shared" ref="C227:C232" si="36">T("ALEX ORTHOPEDIC INC")</f>
        <v>ALEX ORTHOPEDIC INC</v>
      </c>
      <c r="D227" s="1" t="str">
        <f>T("9242-XL")</f>
        <v>9242-XL</v>
      </c>
      <c r="E227" s="1" t="str">
        <f t="shared" ref="E227:E232" si="37">T("L1812")</f>
        <v>L1812</v>
      </c>
      <c r="F227" s="1" t="str">
        <f t="shared" ref="F227:F232" si="38">T("10/06/2017")</f>
        <v>10/06/2017</v>
      </c>
      <c r="G227" s="1" t="str">
        <f t="shared" si="34"/>
        <v/>
      </c>
      <c r="H227" s="9" t="str">
        <f t="shared" si="34"/>
        <v/>
      </c>
    </row>
    <row r="228" spans="1:8" x14ac:dyDescent="0.2">
      <c r="A228" s="3" t="s">
        <v>10</v>
      </c>
      <c r="B228" s="9" t="str">
        <f t="shared" si="35"/>
        <v>KNEE STABILIZER WRAP</v>
      </c>
      <c r="C228" s="9" t="str">
        <f t="shared" si="36"/>
        <v>ALEX ORTHOPEDIC INC</v>
      </c>
      <c r="D228" s="1" t="str">
        <f>T("9242-S")</f>
        <v>9242-S</v>
      </c>
      <c r="E228" s="1" t="str">
        <f t="shared" si="37"/>
        <v>L1812</v>
      </c>
      <c r="F228" s="1" t="str">
        <f t="shared" si="38"/>
        <v>10/06/2017</v>
      </c>
      <c r="G228" s="1" t="str">
        <f t="shared" si="34"/>
        <v/>
      </c>
      <c r="H228" s="9" t="str">
        <f t="shared" si="34"/>
        <v/>
      </c>
    </row>
    <row r="229" spans="1:8" x14ac:dyDescent="0.2">
      <c r="A229" s="3" t="s">
        <v>10</v>
      </c>
      <c r="B229" s="9" t="str">
        <f t="shared" si="35"/>
        <v>KNEE STABILIZER WRAP</v>
      </c>
      <c r="C229" s="9" t="str">
        <f t="shared" si="36"/>
        <v>ALEX ORTHOPEDIC INC</v>
      </c>
      <c r="D229" s="1" t="str">
        <f>T("9242-M")</f>
        <v>9242-M</v>
      </c>
      <c r="E229" s="1" t="str">
        <f t="shared" si="37"/>
        <v>L1812</v>
      </c>
      <c r="F229" s="1" t="str">
        <f t="shared" si="38"/>
        <v>10/06/2017</v>
      </c>
      <c r="G229" s="1" t="str">
        <f t="shared" si="34"/>
        <v/>
      </c>
      <c r="H229" s="9" t="str">
        <f t="shared" si="34"/>
        <v/>
      </c>
    </row>
    <row r="230" spans="1:8" x14ac:dyDescent="0.2">
      <c r="A230" s="3" t="s">
        <v>10</v>
      </c>
      <c r="B230" s="9" t="str">
        <f t="shared" si="35"/>
        <v>KNEE STABILIZER WRAP</v>
      </c>
      <c r="C230" s="9" t="str">
        <f t="shared" si="36"/>
        <v>ALEX ORTHOPEDIC INC</v>
      </c>
      <c r="D230" s="1" t="str">
        <f>T("9242-L")</f>
        <v>9242-L</v>
      </c>
      <c r="E230" s="1" t="str">
        <f t="shared" si="37"/>
        <v>L1812</v>
      </c>
      <c r="F230" s="1" t="str">
        <f t="shared" si="38"/>
        <v>10/06/2017</v>
      </c>
      <c r="G230" s="1" t="str">
        <f t="shared" si="34"/>
        <v/>
      </c>
      <c r="H230" s="9" t="str">
        <f t="shared" si="34"/>
        <v/>
      </c>
    </row>
    <row r="231" spans="1:8" x14ac:dyDescent="0.2">
      <c r="A231" s="3" t="s">
        <v>10</v>
      </c>
      <c r="B231" s="9" t="str">
        <f t="shared" si="35"/>
        <v>KNEE STABILIZER WRAP</v>
      </c>
      <c r="C231" s="9" t="str">
        <f t="shared" si="36"/>
        <v>ALEX ORTHOPEDIC INC</v>
      </c>
      <c r="D231" s="1" t="str">
        <f>T("9242-XXL")</f>
        <v>9242-XXL</v>
      </c>
      <c r="E231" s="1" t="str">
        <f t="shared" si="37"/>
        <v>L1812</v>
      </c>
      <c r="F231" s="1" t="str">
        <f t="shared" si="38"/>
        <v>10/06/2017</v>
      </c>
      <c r="G231" s="1" t="str">
        <f t="shared" si="34"/>
        <v/>
      </c>
      <c r="H231" s="9" t="str">
        <f t="shared" si="34"/>
        <v/>
      </c>
    </row>
    <row r="232" spans="1:8" x14ac:dyDescent="0.2">
      <c r="A232" s="3" t="s">
        <v>10</v>
      </c>
      <c r="B232" s="9" t="str">
        <f t="shared" si="35"/>
        <v>KNEE STABILIZER WRAP</v>
      </c>
      <c r="C232" s="9" t="str">
        <f t="shared" si="36"/>
        <v>ALEX ORTHOPEDIC INC</v>
      </c>
      <c r="D232" s="1" t="str">
        <f>T("9242-XXXL")</f>
        <v>9242-XXXL</v>
      </c>
      <c r="E232" s="1" t="str">
        <f t="shared" si="37"/>
        <v>L1812</v>
      </c>
      <c r="F232" s="1" t="str">
        <f t="shared" si="38"/>
        <v>10/06/2017</v>
      </c>
      <c r="G232" s="1" t="str">
        <f t="shared" si="34"/>
        <v/>
      </c>
      <c r="H232" s="9" t="str">
        <f t="shared" si="34"/>
        <v/>
      </c>
    </row>
    <row r="233" spans="1:8" x14ac:dyDescent="0.2">
      <c r="A233" s="3" t="s">
        <v>10</v>
      </c>
      <c r="B233" s="9" t="str">
        <f>T("M.4S PCL DYNAMIC BRACE")</f>
        <v>M.4S PCL DYNAMIC BRACE</v>
      </c>
      <c r="C233" s="9" t="str">
        <f>T("MEDI USA")</f>
        <v>MEDI USA</v>
      </c>
      <c r="D233" s="1" t="str">
        <f>T("G081XXX")</f>
        <v>G081XXX</v>
      </c>
      <c r="E233" s="1" t="str">
        <f>T("L1845")</f>
        <v>L1845</v>
      </c>
      <c r="F233" s="1" t="str">
        <f>T("10/20/2017")</f>
        <v>10/20/2017</v>
      </c>
      <c r="G233" s="1" t="str">
        <f t="shared" ref="G233:G239" si="39">T("")</f>
        <v/>
      </c>
      <c r="H233" s="9" t="str">
        <f>T("THE XXX'S ARE PLACEHOLDERS TO REPRESENT A PART NUMBERING SYSTEM BASED UPON SIZE AND RIGHT OR LEFT.")</f>
        <v>THE XXX'S ARE PLACEHOLDERS TO REPRESENT A PART NUMBERING SYSTEM BASED UPON SIZE AND RIGHT OR LEFT.</v>
      </c>
    </row>
    <row r="234" spans="1:8" x14ac:dyDescent="0.2">
      <c r="A234" s="3" t="s">
        <v>10</v>
      </c>
      <c r="B234" s="9" t="str">
        <f t="shared" ref="B234:B239" si="40">T("HINGED ANKLE STABILIZER")</f>
        <v>HINGED ANKLE STABILIZER</v>
      </c>
      <c r="C234" s="9" t="str">
        <f t="shared" ref="C234:C239" si="41">T("TOP SHELF MANUFACTURING LLC")</f>
        <v>TOP SHELF MANUFACTURING LLC</v>
      </c>
      <c r="D234" s="1" t="str">
        <f>T("501855 LG")</f>
        <v>501855 LG</v>
      </c>
      <c r="E234" s="1" t="str">
        <f t="shared" ref="E234:E239" si="42">T("L1902")</f>
        <v>L1902</v>
      </c>
      <c r="F234" s="1" t="str">
        <f t="shared" ref="F234:F239" si="43">T("10/27/2017")</f>
        <v>10/27/2017</v>
      </c>
      <c r="G234" s="1" t="str">
        <f t="shared" si="39"/>
        <v/>
      </c>
      <c r="H234" s="9" t="str">
        <f t="shared" ref="H234:H239" si="44">T("")</f>
        <v/>
      </c>
    </row>
    <row r="235" spans="1:8" x14ac:dyDescent="0.2">
      <c r="A235" s="3" t="s">
        <v>10</v>
      </c>
      <c r="B235" s="9" t="str">
        <f t="shared" si="40"/>
        <v>HINGED ANKLE STABILIZER</v>
      </c>
      <c r="C235" s="9" t="str">
        <f t="shared" si="41"/>
        <v>TOP SHELF MANUFACTURING LLC</v>
      </c>
      <c r="D235" s="1" t="str">
        <f>T("501856 XL")</f>
        <v>501856 XL</v>
      </c>
      <c r="E235" s="1" t="str">
        <f t="shared" si="42"/>
        <v>L1902</v>
      </c>
      <c r="F235" s="1" t="str">
        <f t="shared" si="43"/>
        <v>10/27/2017</v>
      </c>
      <c r="G235" s="1" t="str">
        <f t="shared" si="39"/>
        <v/>
      </c>
      <c r="H235" s="9" t="str">
        <f t="shared" si="44"/>
        <v/>
      </c>
    </row>
    <row r="236" spans="1:8" x14ac:dyDescent="0.2">
      <c r="A236" s="3" t="s">
        <v>10</v>
      </c>
      <c r="B236" s="9" t="str">
        <f t="shared" si="40"/>
        <v>HINGED ANKLE STABILIZER</v>
      </c>
      <c r="C236" s="9" t="str">
        <f t="shared" si="41"/>
        <v>TOP SHELF MANUFACTURING LLC</v>
      </c>
      <c r="D236" s="1" t="str">
        <f>T("501852 XS")</f>
        <v>501852 XS</v>
      </c>
      <c r="E236" s="1" t="str">
        <f t="shared" si="42"/>
        <v>L1902</v>
      </c>
      <c r="F236" s="1" t="str">
        <f t="shared" si="43"/>
        <v>10/27/2017</v>
      </c>
      <c r="G236" s="1" t="str">
        <f t="shared" si="39"/>
        <v/>
      </c>
      <c r="H236" s="9" t="str">
        <f t="shared" si="44"/>
        <v/>
      </c>
    </row>
    <row r="237" spans="1:8" x14ac:dyDescent="0.2">
      <c r="A237" s="3" t="s">
        <v>10</v>
      </c>
      <c r="B237" s="9" t="str">
        <f t="shared" si="40"/>
        <v>HINGED ANKLE STABILIZER</v>
      </c>
      <c r="C237" s="9" t="str">
        <f t="shared" si="41"/>
        <v>TOP SHELF MANUFACTURING LLC</v>
      </c>
      <c r="D237" s="1" t="str">
        <f>T("501853 SM")</f>
        <v>501853 SM</v>
      </c>
      <c r="E237" s="1" t="str">
        <f t="shared" si="42"/>
        <v>L1902</v>
      </c>
      <c r="F237" s="1" t="str">
        <f t="shared" si="43"/>
        <v>10/27/2017</v>
      </c>
      <c r="G237" s="1" t="str">
        <f t="shared" si="39"/>
        <v/>
      </c>
      <c r="H237" s="9" t="str">
        <f t="shared" si="44"/>
        <v/>
      </c>
    </row>
    <row r="238" spans="1:8" x14ac:dyDescent="0.2">
      <c r="A238" s="3" t="s">
        <v>10</v>
      </c>
      <c r="B238" s="9" t="str">
        <f t="shared" si="40"/>
        <v>HINGED ANKLE STABILIZER</v>
      </c>
      <c r="C238" s="9" t="str">
        <f t="shared" si="41"/>
        <v>TOP SHELF MANUFACTURING LLC</v>
      </c>
      <c r="D238" s="1" t="str">
        <f>T("501854 MD")</f>
        <v>501854 MD</v>
      </c>
      <c r="E238" s="1" t="str">
        <f t="shared" si="42"/>
        <v>L1902</v>
      </c>
      <c r="F238" s="1" t="str">
        <f t="shared" si="43"/>
        <v>10/27/2017</v>
      </c>
      <c r="G238" s="1" t="str">
        <f t="shared" si="39"/>
        <v/>
      </c>
      <c r="H238" s="9" t="str">
        <f t="shared" si="44"/>
        <v/>
      </c>
    </row>
    <row r="239" spans="1:8" x14ac:dyDescent="0.2">
      <c r="A239" s="3" t="s">
        <v>10</v>
      </c>
      <c r="B239" s="9" t="str">
        <f t="shared" si="40"/>
        <v>HINGED ANKLE STABILIZER</v>
      </c>
      <c r="C239" s="9" t="str">
        <f t="shared" si="41"/>
        <v>TOP SHELF MANUFACTURING LLC</v>
      </c>
      <c r="D239" s="1" t="str">
        <f>T("501857 2XL")</f>
        <v>501857 2XL</v>
      </c>
      <c r="E239" s="1" t="str">
        <f t="shared" si="42"/>
        <v>L1902</v>
      </c>
      <c r="F239" s="1" t="str">
        <f t="shared" si="43"/>
        <v>10/27/2017</v>
      </c>
      <c r="G239" s="1" t="str">
        <f t="shared" si="39"/>
        <v/>
      </c>
      <c r="H239" s="9" t="str">
        <f t="shared" si="44"/>
        <v/>
      </c>
    </row>
    <row r="240" spans="1:8" x14ac:dyDescent="0.2">
      <c r="A240" s="3" t="s">
        <v>10</v>
      </c>
      <c r="B240" s="10" t="s">
        <v>23</v>
      </c>
      <c r="C240" s="10" t="s">
        <v>88</v>
      </c>
      <c r="D240" s="3" t="s">
        <v>111</v>
      </c>
      <c r="E240" s="3" t="s">
        <v>168</v>
      </c>
      <c r="F240" s="4">
        <v>43009</v>
      </c>
      <c r="G240" s="3"/>
      <c r="H240" s="10"/>
    </row>
    <row r="241" spans="1:8" x14ac:dyDescent="0.2">
      <c r="A241" s="3" t="s">
        <v>10</v>
      </c>
      <c r="B241" s="10" t="s">
        <v>23</v>
      </c>
      <c r="C241" s="10" t="s">
        <v>88</v>
      </c>
      <c r="D241" s="3" t="s">
        <v>112</v>
      </c>
      <c r="E241" s="3" t="s">
        <v>168</v>
      </c>
      <c r="F241" s="4">
        <v>43009</v>
      </c>
      <c r="G241" s="3"/>
      <c r="H241" s="10"/>
    </row>
    <row r="242" spans="1:8" x14ac:dyDescent="0.2">
      <c r="A242" s="3" t="s">
        <v>10</v>
      </c>
      <c r="B242" s="10" t="s">
        <v>23</v>
      </c>
      <c r="C242" s="10" t="s">
        <v>88</v>
      </c>
      <c r="D242" s="3" t="s">
        <v>113</v>
      </c>
      <c r="E242" s="3" t="s">
        <v>168</v>
      </c>
      <c r="F242" s="4">
        <v>43009</v>
      </c>
      <c r="G242" s="3"/>
      <c r="H242" s="10"/>
    </row>
    <row r="243" spans="1:8" x14ac:dyDescent="0.2">
      <c r="A243" s="3" t="s">
        <v>10</v>
      </c>
      <c r="B243" s="9" t="str">
        <f t="shared" ref="B243:B248" si="45">T("RECOVERY ANKLE BRACE")</f>
        <v>RECOVERY ANKLE BRACE</v>
      </c>
      <c r="C243" s="9" t="str">
        <f t="shared" ref="C243:C248" si="46">T("ELITE ORTHOPAEDICS INC")</f>
        <v>ELITE ORTHOPAEDICS INC</v>
      </c>
      <c r="D243" s="1" t="str">
        <f>T("89022R (SMALL RIGHT)")</f>
        <v>89022R (SMALL RIGHT)</v>
      </c>
      <c r="E243" s="1" t="str">
        <f t="shared" ref="E243:E248" si="47">T("L1906 OR L1971")</f>
        <v>L1906 OR L1971</v>
      </c>
      <c r="F243" s="1" t="str">
        <f t="shared" ref="F243:F248" si="48">T("10/27/2017")</f>
        <v>10/27/2017</v>
      </c>
      <c r="G243" s="1" t="str">
        <f t="shared" ref="G243:G248" si="49">T("")</f>
        <v/>
      </c>
      <c r="H243" s="9" t="str">
        <f t="shared" ref="H243:H248" si="50">T("USE L1971 ONLY IF POSTERIOR CALF PANEL IS INTER-CONNECTED. USE L1906 FOR ANKLE SECTION ONLY.")</f>
        <v>USE L1971 ONLY IF POSTERIOR CALF PANEL IS INTER-CONNECTED. USE L1906 FOR ANKLE SECTION ONLY.</v>
      </c>
    </row>
    <row r="244" spans="1:8" x14ac:dyDescent="0.2">
      <c r="A244" s="3" t="s">
        <v>10</v>
      </c>
      <c r="B244" s="9" t="str">
        <f t="shared" si="45"/>
        <v>RECOVERY ANKLE BRACE</v>
      </c>
      <c r="C244" s="9" t="str">
        <f t="shared" si="46"/>
        <v>ELITE ORTHOPAEDICS INC</v>
      </c>
      <c r="D244" s="1" t="str">
        <f>T("89024R (MED RIGHT)")</f>
        <v>89024R (MED RIGHT)</v>
      </c>
      <c r="E244" s="1" t="str">
        <f t="shared" si="47"/>
        <v>L1906 OR L1971</v>
      </c>
      <c r="F244" s="1" t="str">
        <f t="shared" si="48"/>
        <v>10/27/2017</v>
      </c>
      <c r="G244" s="1" t="str">
        <f t="shared" si="49"/>
        <v/>
      </c>
      <c r="H244" s="9" t="str">
        <f t="shared" si="50"/>
        <v>USE L1971 ONLY IF POSTERIOR CALF PANEL IS INTER-CONNECTED. USE L1906 FOR ANKLE SECTION ONLY.</v>
      </c>
    </row>
    <row r="245" spans="1:8" x14ac:dyDescent="0.2">
      <c r="A245" s="3" t="s">
        <v>10</v>
      </c>
      <c r="B245" s="9" t="str">
        <f t="shared" si="45"/>
        <v>RECOVERY ANKLE BRACE</v>
      </c>
      <c r="C245" s="9" t="str">
        <f t="shared" si="46"/>
        <v>ELITE ORTHOPAEDICS INC</v>
      </c>
      <c r="D245" s="1" t="str">
        <f>T("89026R (LARGE RIGHT)")</f>
        <v>89026R (LARGE RIGHT)</v>
      </c>
      <c r="E245" s="1" t="str">
        <f t="shared" si="47"/>
        <v>L1906 OR L1971</v>
      </c>
      <c r="F245" s="1" t="str">
        <f t="shared" si="48"/>
        <v>10/27/2017</v>
      </c>
      <c r="G245" s="1" t="str">
        <f t="shared" si="49"/>
        <v/>
      </c>
      <c r="H245" s="9" t="str">
        <f t="shared" si="50"/>
        <v>USE L1971 ONLY IF POSTERIOR CALF PANEL IS INTER-CONNECTED. USE L1906 FOR ANKLE SECTION ONLY.</v>
      </c>
    </row>
    <row r="246" spans="1:8" x14ac:dyDescent="0.2">
      <c r="A246" s="3" t="s">
        <v>10</v>
      </c>
      <c r="B246" s="9" t="str">
        <f t="shared" si="45"/>
        <v>RECOVERY ANKLE BRACE</v>
      </c>
      <c r="C246" s="9" t="str">
        <f t="shared" si="46"/>
        <v>ELITE ORTHOPAEDICS INC</v>
      </c>
      <c r="D246" s="1" t="str">
        <f>T("89022L (SMALL LEFT)")</f>
        <v>89022L (SMALL LEFT)</v>
      </c>
      <c r="E246" s="1" t="str">
        <f t="shared" si="47"/>
        <v>L1906 OR L1971</v>
      </c>
      <c r="F246" s="1" t="str">
        <f t="shared" si="48"/>
        <v>10/27/2017</v>
      </c>
      <c r="G246" s="1" t="str">
        <f t="shared" si="49"/>
        <v/>
      </c>
      <c r="H246" s="9" t="str">
        <f t="shared" si="50"/>
        <v>USE L1971 ONLY IF POSTERIOR CALF PANEL IS INTER-CONNECTED. USE L1906 FOR ANKLE SECTION ONLY.</v>
      </c>
    </row>
    <row r="247" spans="1:8" x14ac:dyDescent="0.2">
      <c r="A247" s="3" t="s">
        <v>10</v>
      </c>
      <c r="B247" s="9" t="str">
        <f t="shared" si="45"/>
        <v>RECOVERY ANKLE BRACE</v>
      </c>
      <c r="C247" s="9" t="str">
        <f t="shared" si="46"/>
        <v>ELITE ORTHOPAEDICS INC</v>
      </c>
      <c r="D247" s="1" t="str">
        <f>T("89024L (MED LEFT)")</f>
        <v>89024L (MED LEFT)</v>
      </c>
      <c r="E247" s="1" t="str">
        <f t="shared" si="47"/>
        <v>L1906 OR L1971</v>
      </c>
      <c r="F247" s="1" t="str">
        <f t="shared" si="48"/>
        <v>10/27/2017</v>
      </c>
      <c r="G247" s="1" t="str">
        <f t="shared" si="49"/>
        <v/>
      </c>
      <c r="H247" s="9" t="str">
        <f t="shared" si="50"/>
        <v>USE L1971 ONLY IF POSTERIOR CALF PANEL IS INTER-CONNECTED. USE L1906 FOR ANKLE SECTION ONLY.</v>
      </c>
    </row>
    <row r="248" spans="1:8" x14ac:dyDescent="0.2">
      <c r="A248" s="3" t="s">
        <v>10</v>
      </c>
      <c r="B248" s="9" t="str">
        <f t="shared" si="45"/>
        <v>RECOVERY ANKLE BRACE</v>
      </c>
      <c r="C248" s="9" t="str">
        <f t="shared" si="46"/>
        <v>ELITE ORTHOPAEDICS INC</v>
      </c>
      <c r="D248" s="1" t="str">
        <f>T("89026L (LARGE LEFT)")</f>
        <v>89026L (LARGE LEFT)</v>
      </c>
      <c r="E248" s="1" t="str">
        <f t="shared" si="47"/>
        <v>L1906 OR L1971</v>
      </c>
      <c r="F248" s="1" t="str">
        <f t="shared" si="48"/>
        <v>10/27/2017</v>
      </c>
      <c r="G248" s="1" t="str">
        <f t="shared" si="49"/>
        <v/>
      </c>
      <c r="H248" s="9" t="str">
        <f t="shared" si="50"/>
        <v>USE L1971 ONLY IF POSTERIOR CALF PANEL IS INTER-CONNECTED. USE L1906 FOR ANKLE SECTION ONLY.</v>
      </c>
    </row>
    <row r="249" spans="1:8" x14ac:dyDescent="0.2">
      <c r="A249" s="3" t="s">
        <v>10</v>
      </c>
      <c r="B249" s="9" t="s">
        <v>26</v>
      </c>
      <c r="C249" s="9" t="s">
        <v>91</v>
      </c>
      <c r="D249" s="1" t="s">
        <v>116</v>
      </c>
      <c r="E249" s="1" t="s">
        <v>171</v>
      </c>
      <c r="F249" s="1" t="s">
        <v>190</v>
      </c>
      <c r="G249" s="1" t="s">
        <v>7</v>
      </c>
      <c r="H249" s="9" t="s">
        <v>7</v>
      </c>
    </row>
    <row r="250" spans="1:8" x14ac:dyDescent="0.2">
      <c r="A250" s="3" t="s">
        <v>10</v>
      </c>
      <c r="B250" s="9" t="s">
        <v>27</v>
      </c>
      <c r="C250" s="9" t="s">
        <v>91</v>
      </c>
      <c r="D250" s="1" t="s">
        <v>117</v>
      </c>
      <c r="E250" s="1" t="s">
        <v>171</v>
      </c>
      <c r="F250" s="1" t="s">
        <v>190</v>
      </c>
      <c r="G250" s="1" t="s">
        <v>7</v>
      </c>
      <c r="H250" s="9" t="s">
        <v>7</v>
      </c>
    </row>
    <row r="251" spans="1:8" x14ac:dyDescent="0.2">
      <c r="A251" s="3" t="s">
        <v>10</v>
      </c>
      <c r="B251" s="9" t="s">
        <v>28</v>
      </c>
      <c r="C251" s="9" t="s">
        <v>91</v>
      </c>
      <c r="D251" s="1" t="s">
        <v>118</v>
      </c>
      <c r="E251" s="1" t="s">
        <v>171</v>
      </c>
      <c r="F251" s="1" t="s">
        <v>190</v>
      </c>
      <c r="G251" s="1" t="s">
        <v>7</v>
      </c>
      <c r="H251" s="9" t="s">
        <v>7</v>
      </c>
    </row>
    <row r="252" spans="1:8" ht="15" customHeight="1" x14ac:dyDescent="0.2">
      <c r="A252" s="3" t="s">
        <v>10</v>
      </c>
      <c r="B252" s="9" t="s">
        <v>29</v>
      </c>
      <c r="C252" s="9" t="s">
        <v>91</v>
      </c>
      <c r="D252" s="1" t="s">
        <v>119</v>
      </c>
      <c r="E252" s="1" t="s">
        <v>171</v>
      </c>
      <c r="F252" s="1" t="s">
        <v>190</v>
      </c>
      <c r="G252" s="1" t="s">
        <v>7</v>
      </c>
      <c r="H252" s="9" t="s">
        <v>7</v>
      </c>
    </row>
    <row r="253" spans="1:8" ht="15" customHeight="1" x14ac:dyDescent="0.2">
      <c r="A253" s="3" t="s">
        <v>11</v>
      </c>
      <c r="B253" s="9" t="str">
        <f>T("CLAVICLE SUPPORT SM")</f>
        <v>CLAVICLE SUPPORT SM</v>
      </c>
      <c r="C253" s="9" t="str">
        <f t="shared" ref="C253:C270" si="51">T("ORTHOZONE INC")</f>
        <v>ORTHOZONE INC</v>
      </c>
      <c r="D253" s="1" t="str">
        <f>T("83632")</f>
        <v>83632</v>
      </c>
      <c r="E253" s="1" t="str">
        <f>T("L3650")</f>
        <v>L3650</v>
      </c>
      <c r="F253" s="1" t="str">
        <f>T("10/12/2017")</f>
        <v>10/12/2017</v>
      </c>
      <c r="G253" s="1" t="str">
        <f t="shared" ref="G253:H281" si="52">T("")</f>
        <v/>
      </c>
      <c r="H253" s="9" t="str">
        <f t="shared" si="52"/>
        <v/>
      </c>
    </row>
    <row r="254" spans="1:8" ht="15" customHeight="1" x14ac:dyDescent="0.2">
      <c r="A254" s="3" t="s">
        <v>11</v>
      </c>
      <c r="B254" s="9" t="str">
        <f>T("CLAVICLE SUPPORT MD")</f>
        <v>CLAVICLE SUPPORT MD</v>
      </c>
      <c r="C254" s="9" t="str">
        <f t="shared" si="51"/>
        <v>ORTHOZONE INC</v>
      </c>
      <c r="D254" s="1" t="str">
        <f>T("84632")</f>
        <v>84632</v>
      </c>
      <c r="E254" s="1" t="str">
        <f>T("L3650")</f>
        <v>L3650</v>
      </c>
      <c r="F254" s="1" t="str">
        <f>T("10/12/2017")</f>
        <v>10/12/2017</v>
      </c>
      <c r="G254" s="1" t="str">
        <f t="shared" si="52"/>
        <v/>
      </c>
      <c r="H254" s="9" t="str">
        <f t="shared" si="52"/>
        <v/>
      </c>
    </row>
    <row r="255" spans="1:8" ht="15" customHeight="1" x14ac:dyDescent="0.2">
      <c r="A255" s="3" t="s">
        <v>11</v>
      </c>
      <c r="B255" s="9" t="str">
        <f>T("CLAVICLE SUPPORT LG")</f>
        <v>CLAVICLE SUPPORT LG</v>
      </c>
      <c r="C255" s="9" t="str">
        <f t="shared" si="51"/>
        <v>ORTHOZONE INC</v>
      </c>
      <c r="D255" s="1" t="str">
        <f>T("85632")</f>
        <v>85632</v>
      </c>
      <c r="E255" s="1" t="str">
        <f>T("L3650")</f>
        <v>L3650</v>
      </c>
      <c r="F255" s="1" t="str">
        <f>T("10/12/2017")</f>
        <v>10/12/2017</v>
      </c>
      <c r="G255" s="1" t="str">
        <f t="shared" si="52"/>
        <v/>
      </c>
      <c r="H255" s="9" t="str">
        <f t="shared" si="52"/>
        <v/>
      </c>
    </row>
    <row r="256" spans="1:8" ht="15" customHeight="1" x14ac:dyDescent="0.2">
      <c r="A256" s="3" t="s">
        <v>11</v>
      </c>
      <c r="B256" s="9" t="str">
        <f>T("CLAVICLE SUPPORT XL")</f>
        <v>CLAVICLE SUPPORT XL</v>
      </c>
      <c r="C256" s="9" t="str">
        <f t="shared" si="51"/>
        <v>ORTHOZONE INC</v>
      </c>
      <c r="D256" s="1" t="str">
        <f>T("86632")</f>
        <v>86632</v>
      </c>
      <c r="E256" s="1" t="str">
        <f>T("L3650")</f>
        <v>L3650</v>
      </c>
      <c r="F256" s="1" t="str">
        <f>T("10/12/2017")</f>
        <v>10/12/2017</v>
      </c>
      <c r="G256" s="1" t="str">
        <f t="shared" si="52"/>
        <v/>
      </c>
      <c r="H256" s="9" t="str">
        <f t="shared" si="52"/>
        <v/>
      </c>
    </row>
    <row r="257" spans="1:8" ht="15" customHeight="1" x14ac:dyDescent="0.2">
      <c r="A257" s="3" t="s">
        <v>10</v>
      </c>
      <c r="B257" s="9" t="str">
        <f>T("THERMOSKIN ELASTIC WRIST HAND BRACE LEFT BEIGE SMALL")</f>
        <v>THERMOSKIN ELASTIC WRIST HAND BRACE LEFT BEIGE SMALL</v>
      </c>
      <c r="C257" s="9" t="str">
        <f t="shared" si="51"/>
        <v>ORTHOZONE INC</v>
      </c>
      <c r="D257" s="1" t="str">
        <f>T("83642")</f>
        <v>83642</v>
      </c>
      <c r="E257" s="1" t="str">
        <f t="shared" ref="E257:E270" si="53">T("L3908")</f>
        <v>L3908</v>
      </c>
      <c r="F257" s="1" t="str">
        <f t="shared" ref="F257:F270" si="54">T("10/05/2017")</f>
        <v>10/05/2017</v>
      </c>
      <c r="G257" s="1" t="str">
        <f t="shared" si="52"/>
        <v/>
      </c>
      <c r="H257" s="9" t="str">
        <f t="shared" si="52"/>
        <v/>
      </c>
    </row>
    <row r="258" spans="1:8" ht="15" customHeight="1" x14ac:dyDescent="0.2">
      <c r="A258" s="3" t="s">
        <v>10</v>
      </c>
      <c r="B258" s="9" t="str">
        <f>T("THERMOSKIN ELASTIC WRIST HAND BRACE LEFT BEIGE MEDIUM")</f>
        <v>THERMOSKIN ELASTIC WRIST HAND BRACE LEFT BEIGE MEDIUM</v>
      </c>
      <c r="C258" s="9" t="str">
        <f t="shared" si="51"/>
        <v>ORTHOZONE INC</v>
      </c>
      <c r="D258" s="1" t="str">
        <f>T("84642")</f>
        <v>84642</v>
      </c>
      <c r="E258" s="1" t="str">
        <f t="shared" si="53"/>
        <v>L3908</v>
      </c>
      <c r="F258" s="1" t="str">
        <f t="shared" si="54"/>
        <v>10/05/2017</v>
      </c>
      <c r="G258" s="1" t="str">
        <f t="shared" si="52"/>
        <v/>
      </c>
      <c r="H258" s="9" t="str">
        <f t="shared" si="52"/>
        <v/>
      </c>
    </row>
    <row r="259" spans="1:8" ht="15" customHeight="1" x14ac:dyDescent="0.2">
      <c r="A259" s="3" t="s">
        <v>10</v>
      </c>
      <c r="B259" s="9" t="str">
        <f>T("THERMOSKIN ELASTIC WRIST HAND BRACE LEFT BEIGE LARGE")</f>
        <v>THERMOSKIN ELASTIC WRIST HAND BRACE LEFT BEIGE LARGE</v>
      </c>
      <c r="C259" s="9" t="str">
        <f t="shared" si="51"/>
        <v>ORTHOZONE INC</v>
      </c>
      <c r="D259" s="1" t="str">
        <f>T("85642")</f>
        <v>85642</v>
      </c>
      <c r="E259" s="1" t="str">
        <f t="shared" si="53"/>
        <v>L3908</v>
      </c>
      <c r="F259" s="1" t="str">
        <f t="shared" si="54"/>
        <v>10/05/2017</v>
      </c>
      <c r="G259" s="1" t="str">
        <f t="shared" si="52"/>
        <v/>
      </c>
      <c r="H259" s="9" t="str">
        <f t="shared" si="52"/>
        <v/>
      </c>
    </row>
    <row r="260" spans="1:8" x14ac:dyDescent="0.2">
      <c r="A260" s="3" t="s">
        <v>10</v>
      </c>
      <c r="B260" s="9" t="str">
        <f>T("THERMOSKIN ELASTIC WRIST HAND BRACE LEFT BEIGE X-LARGE")</f>
        <v>THERMOSKIN ELASTIC WRIST HAND BRACE LEFT BEIGE X-LARGE</v>
      </c>
      <c r="C260" s="9" t="str">
        <f t="shared" si="51"/>
        <v>ORTHOZONE INC</v>
      </c>
      <c r="D260" s="1" t="str">
        <f>T("86642")</f>
        <v>86642</v>
      </c>
      <c r="E260" s="1" t="str">
        <f t="shared" si="53"/>
        <v>L3908</v>
      </c>
      <c r="F260" s="1" t="str">
        <f t="shared" si="54"/>
        <v>10/05/2017</v>
      </c>
      <c r="G260" s="1" t="str">
        <f t="shared" si="52"/>
        <v/>
      </c>
      <c r="H260" s="9" t="str">
        <f t="shared" si="52"/>
        <v/>
      </c>
    </row>
    <row r="261" spans="1:8" x14ac:dyDescent="0.2">
      <c r="A261" s="3" t="s">
        <v>10</v>
      </c>
      <c r="B261" s="9" t="str">
        <f>T("THERMOSKIN ELASTIC WRIST HAND BRACE LEFT BEIGE XX-LARGE")</f>
        <v>THERMOSKIN ELASTIC WRIST HAND BRACE LEFT BEIGE XX-LARGE</v>
      </c>
      <c r="C261" s="9" t="str">
        <f t="shared" si="51"/>
        <v>ORTHOZONE INC</v>
      </c>
      <c r="D261" s="1" t="str">
        <f>T("87642")</f>
        <v>87642</v>
      </c>
      <c r="E261" s="1" t="str">
        <f t="shared" si="53"/>
        <v>L3908</v>
      </c>
      <c r="F261" s="1" t="str">
        <f t="shared" si="54"/>
        <v>10/05/2017</v>
      </c>
      <c r="G261" s="1" t="str">
        <f t="shared" si="52"/>
        <v/>
      </c>
      <c r="H261" s="9" t="str">
        <f t="shared" si="52"/>
        <v/>
      </c>
    </row>
    <row r="262" spans="1:8" x14ac:dyDescent="0.2">
      <c r="A262" s="3" t="s">
        <v>10</v>
      </c>
      <c r="B262" s="9" t="str">
        <f>T("THERMOSKIN ELASTIC WRIST HAND BRACE RIGHT BEIGE SMALL")</f>
        <v>THERMOSKIN ELASTIC WRIST HAND BRACE RIGHT BEIGE SMALL</v>
      </c>
      <c r="C262" s="9" t="str">
        <f t="shared" si="51"/>
        <v>ORTHOZONE INC</v>
      </c>
      <c r="D262" s="1" t="str">
        <f>T("83643")</f>
        <v>83643</v>
      </c>
      <c r="E262" s="1" t="str">
        <f t="shared" si="53"/>
        <v>L3908</v>
      </c>
      <c r="F262" s="1" t="str">
        <f t="shared" si="54"/>
        <v>10/05/2017</v>
      </c>
      <c r="G262" s="1" t="str">
        <f t="shared" si="52"/>
        <v/>
      </c>
      <c r="H262" s="9" t="str">
        <f t="shared" si="52"/>
        <v/>
      </c>
    </row>
    <row r="263" spans="1:8" x14ac:dyDescent="0.2">
      <c r="A263" s="3" t="s">
        <v>10</v>
      </c>
      <c r="B263" s="9" t="str">
        <f>T("THERMOSKIN ELASTIC WRIST HAND BRACE RIGHT BEIGE MEDIUM")</f>
        <v>THERMOSKIN ELASTIC WRIST HAND BRACE RIGHT BEIGE MEDIUM</v>
      </c>
      <c r="C263" s="9" t="str">
        <f t="shared" si="51"/>
        <v>ORTHOZONE INC</v>
      </c>
      <c r="D263" s="1" t="str">
        <f>T("84643")</f>
        <v>84643</v>
      </c>
      <c r="E263" s="1" t="str">
        <f t="shared" si="53"/>
        <v>L3908</v>
      </c>
      <c r="F263" s="1" t="str">
        <f t="shared" si="54"/>
        <v>10/05/2017</v>
      </c>
      <c r="G263" s="1" t="str">
        <f t="shared" si="52"/>
        <v/>
      </c>
      <c r="H263" s="9" t="str">
        <f t="shared" si="52"/>
        <v/>
      </c>
    </row>
    <row r="264" spans="1:8" x14ac:dyDescent="0.2">
      <c r="A264" s="3" t="s">
        <v>10</v>
      </c>
      <c r="B264" s="9" t="str">
        <f>T("THERMOSKIN ELASTIC WRIST HAND BRACE RIGHT BEIGE LARGE")</f>
        <v>THERMOSKIN ELASTIC WRIST HAND BRACE RIGHT BEIGE LARGE</v>
      </c>
      <c r="C264" s="9" t="str">
        <f t="shared" si="51"/>
        <v>ORTHOZONE INC</v>
      </c>
      <c r="D264" s="1" t="str">
        <f>T("85643")</f>
        <v>85643</v>
      </c>
      <c r="E264" s="1" t="str">
        <f t="shared" si="53"/>
        <v>L3908</v>
      </c>
      <c r="F264" s="1" t="str">
        <f t="shared" si="54"/>
        <v>10/05/2017</v>
      </c>
      <c r="G264" s="1" t="str">
        <f t="shared" si="52"/>
        <v/>
      </c>
      <c r="H264" s="9" t="str">
        <f t="shared" si="52"/>
        <v/>
      </c>
    </row>
    <row r="265" spans="1:8" x14ac:dyDescent="0.2">
      <c r="A265" s="3" t="s">
        <v>10</v>
      </c>
      <c r="B265" s="9" t="str">
        <f>T("THERMOSKIN ELASTIC WRIST HAND BRACE RIGHT BEIGE X-LARGE")</f>
        <v>THERMOSKIN ELASTIC WRIST HAND BRACE RIGHT BEIGE X-LARGE</v>
      </c>
      <c r="C265" s="9" t="str">
        <f t="shared" si="51"/>
        <v>ORTHOZONE INC</v>
      </c>
      <c r="D265" s="1" t="str">
        <f>T("86643")</f>
        <v>86643</v>
      </c>
      <c r="E265" s="1" t="str">
        <f t="shared" si="53"/>
        <v>L3908</v>
      </c>
      <c r="F265" s="1" t="str">
        <f t="shared" si="54"/>
        <v>10/05/2017</v>
      </c>
      <c r="G265" s="1" t="str">
        <f t="shared" si="52"/>
        <v/>
      </c>
      <c r="H265" s="9" t="str">
        <f t="shared" si="52"/>
        <v/>
      </c>
    </row>
    <row r="266" spans="1:8" x14ac:dyDescent="0.2">
      <c r="A266" s="3" t="s">
        <v>10</v>
      </c>
      <c r="B266" s="9" t="str">
        <f>T("THERMOSKIN ELASTIC WRIST HAND BRACE RIGHT BEIGE XX-LARGE")</f>
        <v>THERMOSKIN ELASTIC WRIST HAND BRACE RIGHT BEIGE XX-LARGE</v>
      </c>
      <c r="C266" s="9" t="str">
        <f t="shared" si="51"/>
        <v>ORTHOZONE INC</v>
      </c>
      <c r="D266" s="1" t="str">
        <f>T("87643")</f>
        <v>87643</v>
      </c>
      <c r="E266" s="1" t="str">
        <f t="shared" si="53"/>
        <v>L3908</v>
      </c>
      <c r="F266" s="1" t="str">
        <f t="shared" si="54"/>
        <v>10/05/2017</v>
      </c>
      <c r="G266" s="1" t="str">
        <f t="shared" si="52"/>
        <v/>
      </c>
      <c r="H266" s="9" t="str">
        <f t="shared" si="52"/>
        <v/>
      </c>
    </row>
    <row r="267" spans="1:8" x14ac:dyDescent="0.2">
      <c r="A267" s="3" t="s">
        <v>10</v>
      </c>
      <c r="B267" s="9" t="str">
        <f>T("THERMOSKIN ELASTIC WRIST HAND BRACE LEFT BEIGE ONE SIZE FITS MOST")</f>
        <v>THERMOSKIN ELASTIC WRIST HAND BRACE LEFT BEIGE ONE SIZE FITS MOST</v>
      </c>
      <c r="C267" s="9" t="str">
        <f t="shared" si="51"/>
        <v>ORTHOZONE INC</v>
      </c>
      <c r="D267" s="1" t="str">
        <f>T("80642")</f>
        <v>80642</v>
      </c>
      <c r="E267" s="1" t="str">
        <f t="shared" si="53"/>
        <v>L3908</v>
      </c>
      <c r="F267" s="1" t="str">
        <f t="shared" si="54"/>
        <v>10/05/2017</v>
      </c>
      <c r="G267" s="1" t="str">
        <f t="shared" si="52"/>
        <v/>
      </c>
      <c r="H267" s="9" t="str">
        <f t="shared" si="52"/>
        <v/>
      </c>
    </row>
    <row r="268" spans="1:8" x14ac:dyDescent="0.2">
      <c r="A268" s="3" t="s">
        <v>10</v>
      </c>
      <c r="B268" s="9" t="str">
        <f>T("THERMOSKIN ELASTIC WRIST HAND BRACE LEFT BLACK ONE SIZE FITS MOST")</f>
        <v>THERMOSKIN ELASTIC WRIST HAND BRACE LEFT BLACK ONE SIZE FITS MOST</v>
      </c>
      <c r="C268" s="9" t="str">
        <f t="shared" si="51"/>
        <v>ORTHOZONE INC</v>
      </c>
      <c r="D268" s="1" t="str">
        <f>T("80142")</f>
        <v>80142</v>
      </c>
      <c r="E268" s="1" t="str">
        <f t="shared" si="53"/>
        <v>L3908</v>
      </c>
      <c r="F268" s="1" t="str">
        <f t="shared" si="54"/>
        <v>10/05/2017</v>
      </c>
      <c r="G268" s="1" t="str">
        <f t="shared" si="52"/>
        <v/>
      </c>
      <c r="H268" s="9" t="str">
        <f t="shared" si="52"/>
        <v/>
      </c>
    </row>
    <row r="269" spans="1:8" x14ac:dyDescent="0.2">
      <c r="A269" s="3" t="s">
        <v>10</v>
      </c>
      <c r="B269" s="9" t="str">
        <f>T("THERMOSKIN ELASTIC WRIST HAND BRACE RIGHT BEIGE ONE SIZE FITS MOST")</f>
        <v>THERMOSKIN ELASTIC WRIST HAND BRACE RIGHT BEIGE ONE SIZE FITS MOST</v>
      </c>
      <c r="C269" s="9" t="str">
        <f t="shared" si="51"/>
        <v>ORTHOZONE INC</v>
      </c>
      <c r="D269" s="1" t="str">
        <f>T("80643")</f>
        <v>80643</v>
      </c>
      <c r="E269" s="1" t="str">
        <f t="shared" si="53"/>
        <v>L3908</v>
      </c>
      <c r="F269" s="1" t="str">
        <f t="shared" si="54"/>
        <v>10/05/2017</v>
      </c>
      <c r="G269" s="1" t="str">
        <f t="shared" si="52"/>
        <v/>
      </c>
      <c r="H269" s="9" t="str">
        <f t="shared" si="52"/>
        <v/>
      </c>
    </row>
    <row r="270" spans="1:8" x14ac:dyDescent="0.2">
      <c r="A270" s="3" t="s">
        <v>10</v>
      </c>
      <c r="B270" s="9" t="str">
        <f>T("THERMOSKIN ELASTIC WRIST HAND BRACE RIGHT BLACK ONE SIZE FITS MOST")</f>
        <v>THERMOSKIN ELASTIC WRIST HAND BRACE RIGHT BLACK ONE SIZE FITS MOST</v>
      </c>
      <c r="C270" s="9" t="str">
        <f t="shared" si="51"/>
        <v>ORTHOZONE INC</v>
      </c>
      <c r="D270" s="1" t="str">
        <f>T("80143")</f>
        <v>80143</v>
      </c>
      <c r="E270" s="1" t="str">
        <f t="shared" si="53"/>
        <v>L3908</v>
      </c>
      <c r="F270" s="1" t="str">
        <f t="shared" si="54"/>
        <v>10/05/2017</v>
      </c>
      <c r="G270" s="1" t="str">
        <f t="shared" si="52"/>
        <v/>
      </c>
      <c r="H270" s="9" t="str">
        <f t="shared" si="52"/>
        <v/>
      </c>
    </row>
    <row r="271" spans="1:8" x14ac:dyDescent="0.2">
      <c r="A271" s="3" t="s">
        <v>10</v>
      </c>
      <c r="B271" s="9" t="str">
        <f>T("LOW PROFILE AIR WALKER (LOW TOP) SMALL")</f>
        <v>LOW PROFILE AIR WALKER (LOW TOP) SMALL</v>
      </c>
      <c r="C271" s="9" t="str">
        <f t="shared" ref="C271:C277" si="55">T("ADVANCED ORTHOPAEDICS INC")</f>
        <v>ADVANCED ORTHOPAEDICS INC</v>
      </c>
      <c r="D271" s="1" t="str">
        <f>T("330-LAE")</f>
        <v>330-LAE</v>
      </c>
      <c r="E271" s="1" t="str">
        <f t="shared" ref="E271:E277" si="56">T("L4360 OR L4361")</f>
        <v>L4360 OR L4361</v>
      </c>
      <c r="F271" s="1" t="str">
        <f t="shared" ref="F271:F277" si="57">T("10/27/2017")</f>
        <v>10/27/2017</v>
      </c>
      <c r="G271" s="1" t="str">
        <f t="shared" si="52"/>
        <v/>
      </c>
      <c r="H271" s="9" t="str">
        <f t="shared" si="52"/>
        <v/>
      </c>
    </row>
    <row r="272" spans="1:8" x14ac:dyDescent="0.2">
      <c r="A272" s="3" t="s">
        <v>10</v>
      </c>
      <c r="B272" s="9" t="str">
        <f>T("LOW PROFILE AIR WALKER (LOW TOP) MEDIUM")</f>
        <v>LOW PROFILE AIR WALKER (LOW TOP) MEDIUM</v>
      </c>
      <c r="C272" s="9" t="str">
        <f t="shared" si="55"/>
        <v>ADVANCED ORTHOPAEDICS INC</v>
      </c>
      <c r="D272" s="1" t="str">
        <f>T("360-LAE")</f>
        <v>360-LAE</v>
      </c>
      <c r="E272" s="1" t="str">
        <f t="shared" si="56"/>
        <v>L4360 OR L4361</v>
      </c>
      <c r="F272" s="1" t="str">
        <f t="shared" si="57"/>
        <v>10/27/2017</v>
      </c>
      <c r="G272" s="1" t="str">
        <f t="shared" si="52"/>
        <v/>
      </c>
      <c r="H272" s="9" t="str">
        <f t="shared" si="52"/>
        <v/>
      </c>
    </row>
    <row r="273" spans="1:8" x14ac:dyDescent="0.2">
      <c r="A273" s="3" t="s">
        <v>10</v>
      </c>
      <c r="B273" s="9" t="str">
        <f>T("LOW PROFILE AIR WALKER (LOW TOP) LARGE")</f>
        <v>LOW PROFILE AIR WALKER (LOW TOP) LARGE</v>
      </c>
      <c r="C273" s="9" t="str">
        <f t="shared" si="55"/>
        <v>ADVANCED ORTHOPAEDICS INC</v>
      </c>
      <c r="D273" s="1" t="str">
        <f>T("390-LAE")</f>
        <v>390-LAE</v>
      </c>
      <c r="E273" s="1" t="str">
        <f t="shared" si="56"/>
        <v>L4360 OR L4361</v>
      </c>
      <c r="F273" s="1" t="str">
        <f t="shared" si="57"/>
        <v>10/27/2017</v>
      </c>
      <c r="G273" s="1" t="str">
        <f t="shared" si="52"/>
        <v/>
      </c>
      <c r="H273" s="9" t="str">
        <f t="shared" si="52"/>
        <v/>
      </c>
    </row>
    <row r="274" spans="1:8" x14ac:dyDescent="0.2">
      <c r="A274" s="3" t="s">
        <v>10</v>
      </c>
      <c r="B274" s="9" t="str">
        <f>T("LOW PROFILE AIR WALKER (HIGH TOP) - SMALL")</f>
        <v>LOW PROFILE AIR WALKER (HIGH TOP) - SMALL</v>
      </c>
      <c r="C274" s="9" t="str">
        <f t="shared" si="55"/>
        <v>ADVANCED ORTHOPAEDICS INC</v>
      </c>
      <c r="D274" s="1" t="str">
        <f>T("330-AE")</f>
        <v>330-AE</v>
      </c>
      <c r="E274" s="1" t="str">
        <f t="shared" si="56"/>
        <v>L4360 OR L4361</v>
      </c>
      <c r="F274" s="1" t="str">
        <f t="shared" si="57"/>
        <v>10/27/2017</v>
      </c>
      <c r="G274" s="1" t="str">
        <f t="shared" si="52"/>
        <v/>
      </c>
      <c r="H274" s="9" t="str">
        <f t="shared" si="52"/>
        <v/>
      </c>
    </row>
    <row r="275" spans="1:8" x14ac:dyDescent="0.2">
      <c r="A275" s="3" t="s">
        <v>10</v>
      </c>
      <c r="B275" s="9" t="str">
        <f>T("LOW PROFILE AIR WALKER (HIGH TOP) - MEDIUM")</f>
        <v>LOW PROFILE AIR WALKER (HIGH TOP) - MEDIUM</v>
      </c>
      <c r="C275" s="9" t="str">
        <f t="shared" si="55"/>
        <v>ADVANCED ORTHOPAEDICS INC</v>
      </c>
      <c r="D275" s="1" t="str">
        <f>T("360-AE")</f>
        <v>360-AE</v>
      </c>
      <c r="E275" s="1" t="str">
        <f t="shared" si="56"/>
        <v>L4360 OR L4361</v>
      </c>
      <c r="F275" s="1" t="str">
        <f t="shared" si="57"/>
        <v>10/27/2017</v>
      </c>
      <c r="G275" s="1" t="str">
        <f t="shared" si="52"/>
        <v/>
      </c>
      <c r="H275" s="9" t="str">
        <f t="shared" si="52"/>
        <v/>
      </c>
    </row>
    <row r="276" spans="1:8" x14ac:dyDescent="0.2">
      <c r="A276" s="3" t="s">
        <v>10</v>
      </c>
      <c r="B276" s="9" t="str">
        <f>T("LOW PROFILE AIR WALKER (HIGH TOP) - LARGE")</f>
        <v>LOW PROFILE AIR WALKER (HIGH TOP) - LARGE</v>
      </c>
      <c r="C276" s="9" t="str">
        <f t="shared" si="55"/>
        <v>ADVANCED ORTHOPAEDICS INC</v>
      </c>
      <c r="D276" s="1" t="str">
        <f>T("390-AE")</f>
        <v>390-AE</v>
      </c>
      <c r="E276" s="1" t="str">
        <f t="shared" si="56"/>
        <v>L4360 OR L4361</v>
      </c>
      <c r="F276" s="1" t="str">
        <f t="shared" si="57"/>
        <v>10/27/2017</v>
      </c>
      <c r="G276" s="1" t="str">
        <f t="shared" si="52"/>
        <v/>
      </c>
      <c r="H276" s="9" t="str">
        <f t="shared" si="52"/>
        <v/>
      </c>
    </row>
    <row r="277" spans="1:8" x14ac:dyDescent="0.2">
      <c r="A277" s="3" t="s">
        <v>10</v>
      </c>
      <c r="B277" s="9" t="str">
        <f>T("LOW PROFILE AIR WALKER (HIGH TOP) - LARGE")</f>
        <v>LOW PROFILE AIR WALKER (HIGH TOP) - LARGE</v>
      </c>
      <c r="C277" s="9" t="str">
        <f t="shared" si="55"/>
        <v>ADVANCED ORTHOPAEDICS INC</v>
      </c>
      <c r="D277" s="1" t="str">
        <f>T("390-AE")</f>
        <v>390-AE</v>
      </c>
      <c r="E277" s="1" t="str">
        <f t="shared" si="56"/>
        <v>L4360 OR L4361</v>
      </c>
      <c r="F277" s="1" t="str">
        <f t="shared" si="57"/>
        <v>10/27/2017</v>
      </c>
      <c r="G277" s="1" t="str">
        <f t="shared" si="52"/>
        <v/>
      </c>
      <c r="H277" s="9" t="str">
        <f t="shared" si="52"/>
        <v/>
      </c>
    </row>
    <row r="278" spans="1:8" x14ac:dyDescent="0.2">
      <c r="A278" s="3" t="s">
        <v>10</v>
      </c>
      <c r="B278" s="9" t="str">
        <f>T("HERNIA BELT S")</f>
        <v>HERNIA BELT S</v>
      </c>
      <c r="C278" s="9" t="str">
        <f>T("ORTHOZONE INC")</f>
        <v>ORTHOZONE INC</v>
      </c>
      <c r="D278" s="1" t="str">
        <f>T("83629")</f>
        <v>83629</v>
      </c>
      <c r="E278" s="1" t="str">
        <f>T("L8310")</f>
        <v>L8310</v>
      </c>
      <c r="F278" s="1" t="str">
        <f>T("10/03/2017")</f>
        <v>10/03/2017</v>
      </c>
      <c r="G278" s="1" t="str">
        <f t="shared" si="52"/>
        <v/>
      </c>
      <c r="H278" s="9" t="str">
        <f t="shared" si="52"/>
        <v/>
      </c>
    </row>
    <row r="279" spans="1:8" x14ac:dyDescent="0.2">
      <c r="A279" s="3" t="s">
        <v>10</v>
      </c>
      <c r="B279" s="9" t="str">
        <f>T("HERNIA BELT M")</f>
        <v>HERNIA BELT M</v>
      </c>
      <c r="C279" s="9" t="str">
        <f>T("ORTHOZONE INC")</f>
        <v>ORTHOZONE INC</v>
      </c>
      <c r="D279" s="1" t="str">
        <f>T("84629")</f>
        <v>84629</v>
      </c>
      <c r="E279" s="1" t="str">
        <f>T("L8310")</f>
        <v>L8310</v>
      </c>
      <c r="F279" s="1" t="str">
        <f>T("10/03/2017")</f>
        <v>10/03/2017</v>
      </c>
      <c r="G279" s="1" t="str">
        <f t="shared" si="52"/>
        <v/>
      </c>
      <c r="H279" s="9" t="str">
        <f t="shared" si="52"/>
        <v/>
      </c>
    </row>
    <row r="280" spans="1:8" x14ac:dyDescent="0.2">
      <c r="A280" s="3" t="s">
        <v>10</v>
      </c>
      <c r="B280" s="9" t="str">
        <f>T("HERNIA BELT L")</f>
        <v>HERNIA BELT L</v>
      </c>
      <c r="C280" s="9" t="str">
        <f>T("ORTHOZONE INC")</f>
        <v>ORTHOZONE INC</v>
      </c>
      <c r="D280" s="1" t="str">
        <f>T("85629")</f>
        <v>85629</v>
      </c>
      <c r="E280" s="1" t="str">
        <f>T("L8310")</f>
        <v>L8310</v>
      </c>
      <c r="F280" s="1" t="str">
        <f>T("10/03/2017")</f>
        <v>10/03/2017</v>
      </c>
      <c r="G280" s="1" t="str">
        <f t="shared" si="52"/>
        <v/>
      </c>
      <c r="H280" s="9" t="str">
        <f t="shared" si="52"/>
        <v/>
      </c>
    </row>
    <row r="281" spans="1:8" x14ac:dyDescent="0.2">
      <c r="A281" s="3" t="s">
        <v>10</v>
      </c>
      <c r="B281" s="9" t="str">
        <f>T("HERNIA BELT XL")</f>
        <v>HERNIA BELT XL</v>
      </c>
      <c r="C281" s="9" t="str">
        <f>T("ORTHOZONE INC")</f>
        <v>ORTHOZONE INC</v>
      </c>
      <c r="D281" s="1" t="str">
        <f>T("86629")</f>
        <v>86629</v>
      </c>
      <c r="E281" s="1" t="str">
        <f>T("L8310")</f>
        <v>L8310</v>
      </c>
      <c r="F281" s="1" t="str">
        <f>T("10/03/2017")</f>
        <v>10/03/2017</v>
      </c>
      <c r="G281" s="1" t="str">
        <f t="shared" si="52"/>
        <v/>
      </c>
      <c r="H281" s="9" t="str">
        <f t="shared" si="52"/>
        <v/>
      </c>
    </row>
    <row r="282" spans="1:8" x14ac:dyDescent="0.2">
      <c r="A282" s="3" t="s">
        <v>10</v>
      </c>
      <c r="B282" s="9" t="str">
        <f>T("SHOULDER CARRIER BY FLEXXLINE")</f>
        <v>SHOULDER CARRIER BY FLEXXLINE</v>
      </c>
      <c r="C282" s="9" t="str">
        <f>T("FLEXXLINE")</f>
        <v>FLEXXLINE</v>
      </c>
      <c r="D282" s="1" t="str">
        <f>T("FX-201")</f>
        <v>FX-201</v>
      </c>
      <c r="E282" s="1" t="str">
        <f>T("NO HCPCS CODE ASSIGNED")</f>
        <v>NO HCPCS CODE ASSIGNED</v>
      </c>
      <c r="F282" s="1" t="str">
        <f>T("10/13/2017")</f>
        <v>10/13/2017</v>
      </c>
      <c r="G282" s="1" t="str">
        <f>T("")</f>
        <v/>
      </c>
      <c r="H282" s="9" t="str">
        <f>T("PRODUCT CANNOT BE ASSIGNED A HCPCS CODE AS PRESENTED. THE PRODUCT IS INCOMPLETE.")</f>
        <v>PRODUCT CANNOT BE ASSIGNED A HCPCS CODE AS PRESENTED. THE PRODUCT IS INCOMPLETE.</v>
      </c>
    </row>
    <row r="283" spans="1:8" x14ac:dyDescent="0.2">
      <c r="A283" s="3" t="s">
        <v>11</v>
      </c>
      <c r="B283" s="10" t="s">
        <v>43</v>
      </c>
      <c r="C283" s="10" t="s">
        <v>94</v>
      </c>
      <c r="D283" s="3"/>
      <c r="E283" s="3" t="s">
        <v>177</v>
      </c>
      <c r="F283" s="4">
        <v>42951</v>
      </c>
      <c r="G283" s="4">
        <v>43020</v>
      </c>
      <c r="H283" s="10"/>
    </row>
  </sheetData>
  <autoFilter ref="A6:H297"/>
  <sortState ref="A7:H283">
    <sortCondition ref="E6"/>
  </sortState>
  <mergeCells count="1">
    <mergeCell ref="A1:H5"/>
  </mergeCells>
  <pageMargins left="0.7" right="0.7" top="0.75" bottom="0.75" header="0.3" footer="0.3"/>
  <pageSetup orientation="portrait" r:id="rId1"/>
  <ignoredErrors>
    <ignoredError sqref="D20:D22 D195:D196 D218" numberStoredAsText="1"/>
    <ignoredError sqref="C86 C200:C201 H23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A295F1-531E-4C85-A316-F911CE864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120B51-8557-4BB8-9C8F-407849809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930C9-70D6-46C0-BE5A-7F3655C87803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2017</vt:lpstr>
    </vt:vector>
  </TitlesOfParts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2017 PCL Additions and Updates</dc:title>
  <dc:subject>September 2017 PCL Additions and Updates</dc:subject>
  <dc:creator>Noridian Healthcare Solutions</dc:creator>
  <cp:keywords>September 2017 PCL Additions and Updates</cp:keywords>
  <cp:lastModifiedBy>Megan Schrock</cp:lastModifiedBy>
  <dcterms:created xsi:type="dcterms:W3CDTF">2017-09-05T20:33:43Z</dcterms:created>
  <dcterms:modified xsi:type="dcterms:W3CDTF">2018-02-22T21:49:58Z</dcterms:modified>
  <cp:category/>
</cp:coreProperties>
</file>